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monic\Dropbox\IPOG\0 - MATERIAIS - Mônica Professora\SIMPLES NACIONAL\"/>
    </mc:Choice>
  </mc:AlternateContent>
  <xr:revisionPtr revIDLastSave="0" documentId="13_ncr:1_{942E2BA0-ED10-4F49-8CEC-2084B21174F7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ANEXO I" sheetId="14" r:id="rId1"/>
    <sheet name="ANEXO II" sheetId="15" r:id="rId2"/>
    <sheet name="ANEXO III" sheetId="13" r:id="rId3"/>
    <sheet name="ANEXO IV" sheetId="16" r:id="rId4"/>
    <sheet name="ANEXO V" sheetId="17" r:id="rId5"/>
    <sheet name="Planilha1" sheetId="1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4" l="1"/>
  <c r="V22" i="13"/>
  <c r="J7" i="14"/>
  <c r="T22" i="13"/>
  <c r="C7" i="14"/>
  <c r="S22" i="13"/>
  <c r="B7" i="14"/>
  <c r="P7" i="14" l="1"/>
  <c r="U22" i="13"/>
  <c r="W22" i="13" s="1"/>
  <c r="Q22" i="13" s="1"/>
  <c r="T25" i="15"/>
  <c r="T16" i="15" l="1"/>
  <c r="T17" i="15"/>
  <c r="T18" i="15"/>
  <c r="T19" i="15"/>
  <c r="T20" i="15"/>
  <c r="R16" i="14"/>
  <c r="R17" i="14"/>
  <c r="R18" i="14"/>
  <c r="R19" i="14"/>
  <c r="R20" i="14"/>
  <c r="J7" i="17"/>
  <c r="I7" i="17"/>
  <c r="H7" i="17"/>
  <c r="G7" i="17"/>
  <c r="F7" i="17"/>
  <c r="E7" i="17"/>
  <c r="C7" i="17"/>
  <c r="B7" i="17"/>
  <c r="D19" i="17"/>
  <c r="R18" i="17"/>
  <c r="R17" i="17"/>
  <c r="D7" i="17" l="1"/>
  <c r="Q7" i="16"/>
  <c r="I7" i="16"/>
  <c r="H7" i="16"/>
  <c r="F7" i="16"/>
  <c r="G7" i="16"/>
  <c r="E7" i="16"/>
  <c r="C7" i="16"/>
  <c r="B7" i="16"/>
  <c r="D19" i="16"/>
  <c r="P18" i="16"/>
  <c r="P17" i="16"/>
  <c r="J7" i="13"/>
  <c r="L7" i="17" l="1"/>
  <c r="M12" i="17" s="1"/>
  <c r="O7" i="17"/>
  <c r="K7" i="17"/>
  <c r="N7" i="17"/>
  <c r="K11" i="17"/>
  <c r="M7" i="17"/>
  <c r="P7" i="17"/>
  <c r="D7" i="16"/>
  <c r="I7" i="13"/>
  <c r="H7" i="13"/>
  <c r="G7" i="13"/>
  <c r="F7" i="13"/>
  <c r="E7" i="13"/>
  <c r="P11" i="17" l="1"/>
  <c r="M11" i="17"/>
  <c r="O11" i="17"/>
  <c r="N12" i="17"/>
  <c r="N11" i="17"/>
  <c r="L11" i="17"/>
  <c r="K12" i="17"/>
  <c r="L12" i="17"/>
  <c r="P12" i="17"/>
  <c r="Q11" i="17"/>
  <c r="O12" i="17"/>
  <c r="K7" i="16"/>
  <c r="L12" i="16" s="1"/>
  <c r="N7" i="16"/>
  <c r="M7" i="16"/>
  <c r="J11" i="16"/>
  <c r="J7" i="16"/>
  <c r="K12" i="16" s="1"/>
  <c r="L7" i="16"/>
  <c r="T24" i="15"/>
  <c r="R12" i="17" l="1"/>
  <c r="O19" i="17"/>
  <c r="N19" i="17"/>
  <c r="R16" i="17"/>
  <c r="Q19" i="17"/>
  <c r="R14" i="17"/>
  <c r="P19" i="17"/>
  <c r="R13" i="17"/>
  <c r="R7" i="16"/>
  <c r="O11" i="16"/>
  <c r="N12" i="16"/>
  <c r="M12" i="16"/>
  <c r="S7" i="13"/>
  <c r="R17" i="13"/>
  <c r="R18" i="13"/>
  <c r="Q24" i="13"/>
  <c r="D24" i="13"/>
  <c r="R11" i="17" l="1"/>
  <c r="R15" i="17"/>
  <c r="M19" i="17"/>
  <c r="L19" i="17"/>
  <c r="O19" i="16"/>
  <c r="T7" i="16"/>
  <c r="J12" i="16"/>
  <c r="U7" i="16"/>
  <c r="V7" i="16"/>
  <c r="S7" i="16"/>
  <c r="P12" i="16"/>
  <c r="P14" i="16"/>
  <c r="P16" i="16"/>
  <c r="P13" i="16"/>
  <c r="D19" i="13"/>
  <c r="K7" i="15"/>
  <c r="J7" i="15"/>
  <c r="I7" i="15"/>
  <c r="H7" i="15"/>
  <c r="G7" i="15"/>
  <c r="F7" i="15"/>
  <c r="E7" i="15"/>
  <c r="C7" i="15"/>
  <c r="B7" i="15"/>
  <c r="D21" i="15"/>
  <c r="R19" i="17" l="1"/>
  <c r="M11" i="16"/>
  <c r="M19" i="16" s="1"/>
  <c r="N11" i="16"/>
  <c r="N19" i="16" s="1"/>
  <c r="L11" i="16"/>
  <c r="L19" i="16" s="1"/>
  <c r="K11" i="16"/>
  <c r="P15" i="16"/>
  <c r="D7" i="15"/>
  <c r="D21" i="14"/>
  <c r="I7" i="14"/>
  <c r="H7" i="14"/>
  <c r="G7" i="14"/>
  <c r="F7" i="14"/>
  <c r="E7" i="14"/>
  <c r="K19" i="16" l="1"/>
  <c r="P11" i="16"/>
  <c r="P19" i="16" s="1"/>
  <c r="M7" i="15"/>
  <c r="R7" i="15"/>
  <c r="L7" i="15"/>
  <c r="M12" i="15" s="1"/>
  <c r="N7" i="15"/>
  <c r="O12" i="15" s="1"/>
  <c r="Q7" i="15"/>
  <c r="L12" i="15"/>
  <c r="P7" i="15"/>
  <c r="O7" i="15"/>
  <c r="C7" i="13"/>
  <c r="B7" i="13"/>
  <c r="L15" i="15" l="1"/>
  <c r="Q13" i="15"/>
  <c r="Q14" i="15"/>
  <c r="Q12" i="15"/>
  <c r="S14" i="15"/>
  <c r="S12" i="15"/>
  <c r="R15" i="15"/>
  <c r="R13" i="15"/>
  <c r="R14" i="15"/>
  <c r="R12" i="15"/>
  <c r="N14" i="15"/>
  <c r="N12" i="15"/>
  <c r="P13" i="15"/>
  <c r="P12" i="15"/>
  <c r="L13" i="15"/>
  <c r="N13" i="15"/>
  <c r="N15" i="15"/>
  <c r="O13" i="15"/>
  <c r="O21" i="15" s="1"/>
  <c r="M14" i="15"/>
  <c r="M13" i="15"/>
  <c r="M15" i="15"/>
  <c r="L14" i="15"/>
  <c r="Q15" i="15"/>
  <c r="K12" i="14"/>
  <c r="L7" i="14"/>
  <c r="M7" i="14"/>
  <c r="K7" i="14"/>
  <c r="O7" i="14"/>
  <c r="P13" i="14" s="1"/>
  <c r="N7" i="14"/>
  <c r="D7" i="13"/>
  <c r="T15" i="15" l="1"/>
  <c r="P7" i="13"/>
  <c r="K22" i="13" s="1"/>
  <c r="K14" i="14"/>
  <c r="L7" i="13"/>
  <c r="N7" i="13"/>
  <c r="M7" i="13"/>
  <c r="O7" i="13"/>
  <c r="K7" i="13"/>
  <c r="P21" i="15"/>
  <c r="K11" i="13"/>
  <c r="K15" i="13"/>
  <c r="T12" i="15"/>
  <c r="S21" i="15"/>
  <c r="T13" i="15"/>
  <c r="T14" i="15"/>
  <c r="N21" i="15"/>
  <c r="K15" i="14"/>
  <c r="R21" i="15"/>
  <c r="M21" i="15"/>
  <c r="Q21" i="15"/>
  <c r="Q12" i="14"/>
  <c r="Q14" i="14"/>
  <c r="L13" i="14"/>
  <c r="L14" i="14"/>
  <c r="P14" i="14"/>
  <c r="K13" i="14"/>
  <c r="M12" i="14"/>
  <c r="M14" i="14"/>
  <c r="O13" i="14"/>
  <c r="M13" i="14"/>
  <c r="P12" i="14"/>
  <c r="P15" i="14"/>
  <c r="M15" i="14"/>
  <c r="O12" i="14"/>
  <c r="N13" i="14"/>
  <c r="L15" i="14"/>
  <c r="N12" i="14"/>
  <c r="L12" i="14"/>
  <c r="R12" i="14" s="1"/>
  <c r="K23" i="13" l="1"/>
  <c r="O23" i="13"/>
  <c r="O22" i="13"/>
  <c r="L23" i="13"/>
  <c r="L22" i="13"/>
  <c r="P22" i="13"/>
  <c r="P23" i="13"/>
  <c r="N22" i="13"/>
  <c r="N23" i="13"/>
  <c r="M23" i="13"/>
  <c r="M22" i="13"/>
  <c r="L12" i="13"/>
  <c r="L14" i="13"/>
  <c r="L16" i="13"/>
  <c r="L13" i="13"/>
  <c r="M12" i="13"/>
  <c r="M13" i="13"/>
  <c r="M14" i="13"/>
  <c r="M16" i="13"/>
  <c r="P13" i="13"/>
  <c r="P14" i="13"/>
  <c r="P16" i="13"/>
  <c r="P12" i="13"/>
  <c r="Q15" i="13"/>
  <c r="Q11" i="13"/>
  <c r="N12" i="13"/>
  <c r="N13" i="13"/>
  <c r="N14" i="13"/>
  <c r="N16" i="13"/>
  <c r="O16" i="13"/>
  <c r="O12" i="13"/>
  <c r="O13" i="13"/>
  <c r="O14" i="13"/>
  <c r="T7" i="13"/>
  <c r="T21" i="15"/>
  <c r="Q21" i="14"/>
  <c r="R15" i="14"/>
  <c r="P21" i="14"/>
  <c r="R13" i="14"/>
  <c r="N21" i="14"/>
  <c r="R14" i="14"/>
  <c r="M21" i="14"/>
  <c r="O21" i="14"/>
  <c r="L21" i="14"/>
  <c r="P24" i="13" l="1"/>
  <c r="R22" i="13"/>
  <c r="L24" i="13"/>
  <c r="N24" i="13"/>
  <c r="R23" i="13"/>
  <c r="M24" i="13"/>
  <c r="O24" i="13"/>
  <c r="K14" i="13"/>
  <c r="X7" i="13"/>
  <c r="W7" i="13"/>
  <c r="V7" i="13"/>
  <c r="Y7" i="13"/>
  <c r="U7" i="13"/>
  <c r="K12" i="13"/>
  <c r="K16" i="13"/>
  <c r="K13" i="13"/>
  <c r="R12" i="13"/>
  <c r="R16" i="13"/>
  <c r="R14" i="13"/>
  <c r="R21" i="14"/>
  <c r="R24" i="13" l="1"/>
  <c r="M15" i="13"/>
  <c r="M11" i="13"/>
  <c r="N15" i="13"/>
  <c r="N11" i="13"/>
  <c r="L11" i="13"/>
  <c r="L15" i="13"/>
  <c r="O11" i="13"/>
  <c r="O15" i="13"/>
  <c r="P11" i="13"/>
  <c r="P15" i="13"/>
  <c r="R13" i="13"/>
  <c r="Q19" i="13"/>
  <c r="N19" i="13" l="1"/>
  <c r="R15" i="13"/>
  <c r="M19" i="13"/>
  <c r="L19" i="13"/>
  <c r="O19" i="13"/>
  <c r="P19" i="13"/>
  <c r="R11" i="13"/>
  <c r="R19" i="13" l="1"/>
</calcChain>
</file>

<file path=xl/sharedStrings.xml><?xml version="1.0" encoding="utf-8"?>
<sst xmlns="http://schemas.openxmlformats.org/spreadsheetml/2006/main" count="256" uniqueCount="69">
  <si>
    <t>ANEXO I - COMÉRCIO</t>
  </si>
  <si>
    <t>OBS: Entrada de dados apenas nas células coloridas com a cor "amarelo claro"</t>
  </si>
  <si>
    <t>1 - CÁLCULO DA ALÍQUOTA EFETIVA</t>
  </si>
  <si>
    <t>RBT12</t>
  </si>
  <si>
    <t>Aliquota Nominal</t>
  </si>
  <si>
    <t>Parcela a Deduzir</t>
  </si>
  <si>
    <t>Alíquota Efetiva</t>
  </si>
  <si>
    <t>% Repartição IRPJ</t>
  </si>
  <si>
    <t>% Repartição CSLL</t>
  </si>
  <si>
    <t>% Repartição Cofins</t>
  </si>
  <si>
    <t>%  RepartiçãoPIS/Pasep</t>
  </si>
  <si>
    <t>% Repartição CPP</t>
  </si>
  <si>
    <t>% Repartição ICMS</t>
  </si>
  <si>
    <t>% IRPJ</t>
  </si>
  <si>
    <t>% CSLL</t>
  </si>
  <si>
    <t>% Cofins</t>
  </si>
  <si>
    <t>% PIS/Pasep</t>
  </si>
  <si>
    <t>% CPP</t>
  </si>
  <si>
    <t>% ICMS</t>
  </si>
  <si>
    <t>2 - CÁLCULO DO VALOR DO SIMPLES NACIONAL</t>
  </si>
  <si>
    <t>Tipo de Receita (Mercado Interno)</t>
  </si>
  <si>
    <t>Receita Bruta do Mês (Mercado Interno)</t>
  </si>
  <si>
    <t>Alíq. Efetiva</t>
  </si>
  <si>
    <t>IRPJ</t>
  </si>
  <si>
    <t>CSLL</t>
  </si>
  <si>
    <t>Cofins</t>
  </si>
  <si>
    <t>PIS/Pasep</t>
  </si>
  <si>
    <t>CPP</t>
  </si>
  <si>
    <t>ICMS</t>
  </si>
  <si>
    <t>VALOR TOTAL DO DAS</t>
  </si>
  <si>
    <t>Sem ST do ICMS; Sem Tributação Monofásica</t>
  </si>
  <si>
    <t>Com ST do ICMS; Sem Tributação Monofásica</t>
  </si>
  <si>
    <t>ST ICMS</t>
  </si>
  <si>
    <t>Sem ST do ICMS; Com Tributação Monofásica</t>
  </si>
  <si>
    <t>Trib. Monof.</t>
  </si>
  <si>
    <t>Com ST do ICMS; Com Tributação Monofásica</t>
  </si>
  <si>
    <t>TOTAIS</t>
  </si>
  <si>
    <t>ANEXO II - INDÚSTRIA</t>
  </si>
  <si>
    <t>% Repartição IPI</t>
  </si>
  <si>
    <t>% IPI</t>
  </si>
  <si>
    <t>IPI</t>
  </si>
  <si>
    <t>ISS                    (Anexo III)</t>
  </si>
  <si>
    <t>Atividade com incidência simultânea de IPI e ISS SEM retenção/ST do ISS</t>
  </si>
  <si>
    <t>Atividade com incidência simultânea de IPI e ISS COM retenção/ST do ISS</t>
  </si>
  <si>
    <t>ISS Retido/ST</t>
  </si>
  <si>
    <t>ANEXO III - SERVIÇOS</t>
  </si>
  <si>
    <t>% Repartição ISS</t>
  </si>
  <si>
    <t>% ISS</t>
  </si>
  <si>
    <t>REDISTRIBUIÇÃO DO ISS</t>
  </si>
  <si>
    <t>COFINS</t>
  </si>
  <si>
    <t>PIS</t>
  </si>
  <si>
    <t>ISS</t>
  </si>
  <si>
    <t>Serviços sem Retenção/ST do ISS</t>
  </si>
  <si>
    <t>Serviços com Retenção/ST de ISS</t>
  </si>
  <si>
    <t>Escritório de Serviços Contábeis</t>
  </si>
  <si>
    <t>ISS Fixo</t>
  </si>
  <si>
    <t>Locação de Bens Móveis</t>
  </si>
  <si>
    <t>Imune</t>
  </si>
  <si>
    <t>Tranporte coletivo municipal de passageiros sem retenção/ST do ISS</t>
  </si>
  <si>
    <t>Tranporte coletivo municipal de passageiros com retenção/ST do ISS</t>
  </si>
  <si>
    <r>
      <t xml:space="preserve">Serviços de construção civil, relacionados nos subitens 7.02 e 7.05 da LC 116/2003 </t>
    </r>
    <r>
      <rPr>
        <b/>
        <u val="singleAccounting"/>
        <sz val="10"/>
        <rFont val="Calibri"/>
        <family val="2"/>
        <scheme val="minor"/>
      </rPr>
      <t>SEM</t>
    </r>
    <r>
      <rPr>
        <sz val="10"/>
        <rFont val="Calibri"/>
        <family val="2"/>
        <scheme val="minor"/>
      </rPr>
      <t xml:space="preserve"> retenção do ISS</t>
    </r>
  </si>
  <si>
    <r>
      <t xml:space="preserve">Serviços de construção civil, relacionados nos subitens 7.02 e 7.05 da LC 116/2003 </t>
    </r>
    <r>
      <rPr>
        <b/>
        <u val="singleAccounting"/>
        <sz val="10"/>
        <rFont val="Calibri"/>
        <family val="2"/>
        <scheme val="minor"/>
      </rPr>
      <t>COM</t>
    </r>
    <r>
      <rPr>
        <sz val="10"/>
        <rFont val="Calibri"/>
        <family val="2"/>
        <scheme val="minor"/>
      </rPr>
      <t xml:space="preserve"> retenção do ISS</t>
    </r>
  </si>
  <si>
    <t>ICMS            (Anexo I)</t>
  </si>
  <si>
    <t>Comunicação; Transp. Intermunicipal e Interestadual de cargas; Transp. Intermunicipal e interestadual de passageiros - SEM ST do ICMS</t>
  </si>
  <si>
    <t>Comunicação; Transp. Intermunicipal e Interestadual de cargas; Transp. Intermunicipal e interestadual de passageiros - COM ST do ICMS</t>
  </si>
  <si>
    <t>ANEXO IV - SERVIÇOS</t>
  </si>
  <si>
    <t>ANEXO V - SERVIÇOS</t>
  </si>
  <si>
    <t>MÊS</t>
  </si>
  <si>
    <t>SIMPLES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</si>
</sst>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u val="singleAccounting"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10" fontId="0" fillId="0" borderId="0" xfId="0" applyNumberFormat="1"/>
    <xf numFmtId="10" fontId="0" fillId="0" borderId="0" xfId="1" applyNumberFormat="1" applyFont="1"/>
    <xf numFmtId="44" fontId="0" fillId="0" borderId="0" xfId="2" applyFont="1"/>
    <xf numFmtId="0" fontId="4" fillId="0" borderId="0" xfId="0" applyFont="1"/>
    <xf numFmtId="0" fontId="5" fillId="0" borderId="0" xfId="0" applyFont="1"/>
    <xf numFmtId="44" fontId="6" fillId="2" borderId="1" xfId="2" applyFont="1" applyFill="1" applyBorder="1" applyAlignment="1">
      <alignment horizontal="center"/>
    </xf>
    <xf numFmtId="10" fontId="6" fillId="2" borderId="1" xfId="0" applyNumberFormat="1" applyFont="1" applyFill="1" applyBorder="1" applyAlignment="1">
      <alignment horizontal="center"/>
    </xf>
    <xf numFmtId="44" fontId="7" fillId="0" borderId="1" xfId="2" applyFont="1" applyBorder="1"/>
    <xf numFmtId="44" fontId="7" fillId="3" borderId="1" xfId="2" applyFont="1" applyFill="1" applyBorder="1" applyProtection="1">
      <protection locked="0"/>
    </xf>
    <xf numFmtId="10" fontId="7" fillId="0" borderId="1" xfId="1" applyNumberFormat="1" applyFont="1" applyBorder="1" applyAlignment="1">
      <alignment horizontal="center"/>
    </xf>
    <xf numFmtId="10" fontId="9" fillId="0" borderId="1" xfId="1" applyNumberFormat="1" applyFont="1" applyBorder="1"/>
    <xf numFmtId="44" fontId="9" fillId="0" borderId="1" xfId="2" applyFont="1" applyBorder="1"/>
    <xf numFmtId="10" fontId="9" fillId="0" borderId="1" xfId="0" applyNumberFormat="1" applyFont="1" applyBorder="1"/>
    <xf numFmtId="164" fontId="9" fillId="0" borderId="1" xfId="1" applyNumberFormat="1" applyFont="1" applyBorder="1"/>
    <xf numFmtId="44" fontId="2" fillId="4" borderId="1" xfId="2" applyFont="1" applyFill="1" applyBorder="1"/>
    <xf numFmtId="10" fontId="2" fillId="4" borderId="1" xfId="0" applyNumberFormat="1" applyFont="1" applyFill="1" applyBorder="1"/>
    <xf numFmtId="10" fontId="2" fillId="4" borderId="1" xfId="1" applyNumberFormat="1" applyFont="1" applyFill="1" applyBorder="1"/>
    <xf numFmtId="44" fontId="2" fillId="4" borderId="1" xfId="1" applyNumberFormat="1" applyFont="1" applyFill="1" applyBorder="1"/>
    <xf numFmtId="164" fontId="7" fillId="0" borderId="1" xfId="1" applyNumberFormat="1" applyFont="1" applyFill="1" applyBorder="1" applyAlignment="1">
      <alignment horizontal="center"/>
    </xf>
    <xf numFmtId="44" fontId="10" fillId="0" borderId="1" xfId="2" applyFont="1" applyBorder="1" applyAlignment="1" applyProtection="1">
      <alignment horizontal="left"/>
      <protection locked="0"/>
    </xf>
    <xf numFmtId="44" fontId="10" fillId="0" borderId="1" xfId="2" applyFont="1" applyBorder="1" applyAlignment="1" applyProtection="1">
      <alignment wrapText="1"/>
      <protection locked="0"/>
    </xf>
    <xf numFmtId="44" fontId="9" fillId="3" borderId="1" xfId="2" applyFont="1" applyFill="1" applyBorder="1" applyAlignment="1" applyProtection="1">
      <alignment vertical="center"/>
      <protection locked="0"/>
    </xf>
    <xf numFmtId="44" fontId="8" fillId="2" borderId="1" xfId="2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10" fontId="8" fillId="2" borderId="1" xfId="1" applyNumberFormat="1" applyFont="1" applyFill="1" applyBorder="1" applyAlignment="1">
      <alignment horizontal="center" vertical="center"/>
    </xf>
    <xf numFmtId="10" fontId="9" fillId="0" borderId="1" xfId="1" applyNumberFormat="1" applyFont="1" applyBorder="1" applyAlignment="1">
      <alignment vertical="center"/>
    </xf>
    <xf numFmtId="10" fontId="8" fillId="2" borderId="1" xfId="1" applyNumberFormat="1" applyFont="1" applyFill="1" applyBorder="1" applyAlignment="1">
      <alignment horizontal="center" vertical="center" wrapText="1"/>
    </xf>
    <xf numFmtId="44" fontId="10" fillId="0" borderId="1" xfId="2" applyFont="1" applyBorder="1" applyAlignment="1" applyProtection="1">
      <alignment horizontal="left" wrapText="1"/>
      <protection locked="0"/>
    </xf>
    <xf numFmtId="44" fontId="2" fillId="4" borderId="2" xfId="1" applyNumberFormat="1" applyFont="1" applyFill="1" applyBorder="1"/>
    <xf numFmtId="44" fontId="11" fillId="0" borderId="1" xfId="2" applyFont="1" applyBorder="1"/>
    <xf numFmtId="44" fontId="11" fillId="0" borderId="1" xfId="2" applyFont="1" applyBorder="1" applyAlignment="1">
      <alignment horizontal="center"/>
    </xf>
    <xf numFmtId="44" fontId="12" fillId="0" borderId="1" xfId="2" applyFont="1" applyBorder="1" applyProtection="1">
      <protection locked="0"/>
    </xf>
    <xf numFmtId="44" fontId="12" fillId="0" borderId="1" xfId="2" applyFont="1" applyBorder="1" applyAlignment="1" applyProtection="1">
      <alignment wrapText="1"/>
      <protection locked="0"/>
    </xf>
    <xf numFmtId="164" fontId="0" fillId="0" borderId="0" xfId="0" applyNumberFormat="1"/>
    <xf numFmtId="164" fontId="0" fillId="0" borderId="1" xfId="0" applyNumberFormat="1" applyBorder="1"/>
    <xf numFmtId="164" fontId="7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9" fillId="3" borderId="1" xfId="1" applyNumberFormat="1" applyFont="1" applyFill="1" applyBorder="1" applyProtection="1">
      <protection locked="0"/>
    </xf>
    <xf numFmtId="44" fontId="9" fillId="3" borderId="1" xfId="2" applyFont="1" applyFill="1" applyBorder="1" applyProtection="1">
      <protection locked="0"/>
    </xf>
    <xf numFmtId="44" fontId="11" fillId="3" borderId="1" xfId="2" applyFont="1" applyFill="1" applyBorder="1" applyAlignment="1" applyProtection="1">
      <alignment horizontal="center"/>
      <protection locked="0"/>
    </xf>
    <xf numFmtId="10" fontId="9" fillId="0" borderId="1" xfId="1" applyNumberFormat="1" applyFont="1" applyBorder="1" applyProtection="1">
      <protection locked="0"/>
    </xf>
    <xf numFmtId="164" fontId="0" fillId="0" borderId="0" xfId="1" applyNumberFormat="1" applyFont="1"/>
    <xf numFmtId="44" fontId="11" fillId="0" borderId="1" xfId="2" applyFont="1" applyBorder="1" applyAlignment="1" applyProtection="1">
      <alignment horizontal="center"/>
      <protection locked="0"/>
    </xf>
    <xf numFmtId="44" fontId="11" fillId="3" borderId="1" xfId="2" applyFont="1" applyFill="1" applyBorder="1" applyProtection="1">
      <protection locked="0"/>
    </xf>
    <xf numFmtId="44" fontId="9" fillId="3" borderId="1" xfId="2" applyFont="1" applyFill="1" applyBorder="1" applyAlignment="1" applyProtection="1">
      <alignment horizontal="right" vertical="center"/>
      <protection locked="0"/>
    </xf>
    <xf numFmtId="10" fontId="9" fillId="0" borderId="1" xfId="1" applyNumberFormat="1" applyFont="1" applyBorder="1" applyAlignment="1" applyProtection="1">
      <alignment horizontal="right" vertical="center"/>
      <protection locked="0"/>
    </xf>
    <xf numFmtId="164" fontId="9" fillId="0" borderId="1" xfId="1" applyNumberFormat="1" applyFont="1" applyFill="1" applyBorder="1" applyAlignment="1" applyProtection="1">
      <alignment horizontal="right" vertical="center"/>
      <protection locked="0"/>
    </xf>
    <xf numFmtId="44" fontId="9" fillId="0" borderId="1" xfId="2" applyFont="1" applyBorder="1" applyAlignment="1">
      <alignment horizontal="right" vertical="center"/>
    </xf>
    <xf numFmtId="44" fontId="9" fillId="0" borderId="1" xfId="2" applyFont="1" applyFill="1" applyBorder="1" applyAlignment="1" applyProtection="1">
      <alignment horizontal="right" vertical="center"/>
      <protection locked="0"/>
    </xf>
    <xf numFmtId="164" fontId="9" fillId="0" borderId="1" xfId="1" applyNumberFormat="1" applyFont="1" applyFill="1" applyBorder="1" applyAlignment="1" applyProtection="1">
      <alignment vertical="center"/>
      <protection locked="0"/>
    </xf>
    <xf numFmtId="44" fontId="9" fillId="0" borderId="1" xfId="2" applyFont="1" applyFill="1" applyBorder="1" applyAlignment="1" applyProtection="1">
      <alignment vertical="center"/>
      <protection locked="0"/>
    </xf>
    <xf numFmtId="44" fontId="11" fillId="0" borderId="1" xfId="2" applyFont="1" applyBorder="1" applyAlignment="1">
      <alignment horizontal="center" vertical="center"/>
    </xf>
    <xf numFmtId="44" fontId="9" fillId="0" borderId="1" xfId="2" applyFont="1" applyBorder="1" applyAlignment="1">
      <alignment vertical="center"/>
    </xf>
    <xf numFmtId="43" fontId="0" fillId="0" borderId="0" xfId="0" applyNumberFormat="1"/>
    <xf numFmtId="0" fontId="2" fillId="0" borderId="1" xfId="0" applyFont="1" applyBorder="1" applyAlignment="1">
      <alignment horizontal="center"/>
    </xf>
    <xf numFmtId="17" fontId="0" fillId="0" borderId="1" xfId="0" applyNumberFormat="1" applyBorder="1"/>
    <xf numFmtId="43" fontId="0" fillId="0" borderId="1" xfId="0" applyNumberFormat="1" applyBorder="1"/>
    <xf numFmtId="10" fontId="6" fillId="5" borderId="1" xfId="1" applyNumberFormat="1" applyFont="1" applyFill="1" applyBorder="1" applyAlignment="1">
      <alignment horizontal="center"/>
    </xf>
    <xf numFmtId="10" fontId="6" fillId="2" borderId="1" xfId="1" applyNumberFormat="1" applyFont="1" applyFill="1" applyBorder="1" applyAlignment="1">
      <alignment horizontal="center"/>
    </xf>
    <xf numFmtId="10" fontId="6" fillId="0" borderId="0" xfId="1" applyNumberFormat="1" applyFont="1" applyFill="1" applyBorder="1" applyAlignment="1">
      <alignment horizontal="center"/>
    </xf>
    <xf numFmtId="10" fontId="6" fillId="2" borderId="1" xfId="1" applyNumberFormat="1" applyFont="1" applyFill="1" applyBorder="1" applyAlignment="1">
      <alignment horizontal="center"/>
    </xf>
    <xf numFmtId="44" fontId="9" fillId="6" borderId="1" xfId="2" applyFont="1" applyFill="1" applyBorder="1"/>
  </cellXfs>
  <cellStyles count="4">
    <cellStyle name="Moeda" xfId="2" builtinId="4"/>
    <cellStyle name="Normal" xfId="0" builtinId="0"/>
    <cellStyle name="Normal 2" xfId="3" xr:uid="{00000000-0005-0000-0000-000002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S21"/>
  <sheetViews>
    <sheetView workbookViewId="0">
      <selection activeCell="O6" sqref="O6"/>
    </sheetView>
  </sheetViews>
  <sheetFormatPr defaultRowHeight="15" x14ac:dyDescent="0.25"/>
  <cols>
    <col min="1" max="1" width="37.5703125" style="3" customWidth="1"/>
    <col min="2" max="2" width="20" style="1" hidden="1" customWidth="1"/>
    <col min="3" max="3" width="23" style="3" hidden="1" customWidth="1"/>
    <col min="4" max="4" width="22.5703125" style="2" customWidth="1"/>
    <col min="5" max="5" width="21.7109375" style="2" hidden="1" customWidth="1"/>
    <col min="6" max="6" width="22.140625" style="2" hidden="1" customWidth="1"/>
    <col min="7" max="7" width="24.140625" style="2" hidden="1" customWidth="1"/>
    <col min="8" max="8" width="28.5703125" style="2" hidden="1" customWidth="1"/>
    <col min="9" max="9" width="21.28515625" style="2" hidden="1" customWidth="1"/>
    <col min="10" max="10" width="20.28515625" style="2" hidden="1" customWidth="1"/>
    <col min="11" max="16" width="14.140625" style="2" bestFit="1" customWidth="1"/>
    <col min="17" max="17" width="14.42578125" bestFit="1" customWidth="1"/>
    <col min="18" max="18" width="14.7109375" bestFit="1" customWidth="1"/>
    <col min="19" max="19" width="16.28515625" bestFit="1" customWidth="1"/>
  </cols>
  <sheetData>
    <row r="1" spans="1:19" ht="17.25" x14ac:dyDescent="0.3">
      <c r="A1" s="5" t="s">
        <v>0</v>
      </c>
    </row>
    <row r="2" spans="1:19" x14ac:dyDescent="0.25">
      <c r="A2" s="4" t="s">
        <v>1</v>
      </c>
    </row>
    <row r="3" spans="1:19" x14ac:dyDescent="0.25">
      <c r="A3" s="4"/>
    </row>
    <row r="4" spans="1:19" x14ac:dyDescent="0.25">
      <c r="A4" s="4"/>
    </row>
    <row r="5" spans="1:19" ht="17.25" x14ac:dyDescent="0.3">
      <c r="A5" s="5" t="s">
        <v>2</v>
      </c>
    </row>
    <row r="6" spans="1:19" ht="18.75" x14ac:dyDescent="0.3">
      <c r="A6" s="6" t="s">
        <v>3</v>
      </c>
      <c r="B6" s="7" t="s">
        <v>4</v>
      </c>
      <c r="C6" s="6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11</v>
      </c>
      <c r="J6" s="60" t="s">
        <v>12</v>
      </c>
      <c r="K6" s="59" t="s">
        <v>13</v>
      </c>
      <c r="L6" s="59" t="s">
        <v>14</v>
      </c>
      <c r="M6" s="59" t="s">
        <v>15</v>
      </c>
      <c r="N6" s="59" t="s">
        <v>16</v>
      </c>
      <c r="O6" s="59" t="s">
        <v>17</v>
      </c>
      <c r="P6" s="59" t="s">
        <v>18</v>
      </c>
    </row>
    <row r="7" spans="1:19" ht="18.75" x14ac:dyDescent="0.3">
      <c r="A7" s="9">
        <v>1273695.18</v>
      </c>
      <c r="B7" s="10">
        <f>IF(A7&lt;=180000,0.04,IF(AND(A7&gt;180000,A7&lt;=360000),0.073,IF(AND(A7&gt;360000,A7&lt;=720000),0.095,IF(AND(A7&gt;720000,A7&lt;=1800000),0.107,IF(AND(A7&gt;1800000,A7&lt;=3600000),0.143,IF(AND(A7&gt;A7&gt;3600000,A7&lt;=4800000),0.19))))))</f>
        <v>0.107</v>
      </c>
      <c r="C7" s="8">
        <f>IF(A7&lt;=180000,0,IF(AND(A7&gt;180000,A7&lt;=360000),5940,IF(AND(A7&gt;360000,A7&lt;=720000),13860,IF(AND(A7&gt;720000,A7&lt;=1800000),22500,IF(AND(A7&gt;1800000,A7&lt;=3600000),87300,IF(AND(A7&gt;A7&gt;3600000,A7&lt;=4800000),378000))))))</f>
        <v>22500</v>
      </c>
      <c r="D7" s="19">
        <f>IF(A7=0,B7,((A7*B7)-C7)/A7)</f>
        <v>8.9334862882970156E-2</v>
      </c>
      <c r="E7" s="19">
        <f>IF(AND(A7&gt;=0,A7&lt;=3600000),0.055,IF(AND(A7&gt;3600000,A7&lt;=4800000),0.135))</f>
        <v>5.5E-2</v>
      </c>
      <c r="F7" s="19">
        <f>IF(AND(A7&gt;=0,A7&lt;=3600000),0.035,IF(AND(A7&gt;3600000,A7&lt;=4800000),0.1))</f>
        <v>3.5000000000000003E-2</v>
      </c>
      <c r="G7" s="19">
        <f>IF(AND(A7&gt;=0,A7&lt;=3600000),0.1274,IF(AND(A7&gt;3600000,A7&lt;=4800000),0.2827))</f>
        <v>0.12740000000000001</v>
      </c>
      <c r="H7" s="19">
        <f>IF(AND(A7&gt;=0,A7&lt;=3600000),0.0276,IF(AND(A7&gt;3600000,A7&lt;=4800000),0.0613))</f>
        <v>2.76E-2</v>
      </c>
      <c r="I7" s="19">
        <f>IF(AND(A7&gt;=0,A7&lt;=360000),0.415,IF(AND(A7&gt;360000,A7&lt;=3600000),0.42,IF(AND(A7&gt;3600000,A7&lt;=4800000),0.421)))</f>
        <v>0.42</v>
      </c>
      <c r="J7" s="19">
        <f>IF(AND(A7&gt;=0,A7&lt;=360000),0.34,IF(AND(A7&gt;360000,A7&lt;=3600000),0.335,IF(AND(A7&gt;3600000,A7&lt;=4800000),0)))</f>
        <v>0.33500000000000002</v>
      </c>
      <c r="K7" s="19">
        <f t="shared" ref="K7:O7" si="0">$D$7*E7</f>
        <v>4.9134174585633589E-3</v>
      </c>
      <c r="L7" s="19">
        <f t="shared" si="0"/>
        <v>3.1267202009039557E-3</v>
      </c>
      <c r="M7" s="19">
        <f t="shared" si="0"/>
        <v>1.1381261531290399E-2</v>
      </c>
      <c r="N7" s="19">
        <f t="shared" si="0"/>
        <v>2.4656422155699765E-3</v>
      </c>
      <c r="O7" s="19">
        <f t="shared" si="0"/>
        <v>3.7520642410847467E-2</v>
      </c>
      <c r="P7" s="19">
        <f>$D$7*J7</f>
        <v>2.9927179065795003E-2</v>
      </c>
      <c r="S7" s="3"/>
    </row>
    <row r="10" spans="1:19" ht="17.25" x14ac:dyDescent="0.3">
      <c r="A10" s="5" t="s">
        <v>19</v>
      </c>
    </row>
    <row r="11" spans="1:19" ht="31.5" customHeight="1" x14ac:dyDescent="0.25">
      <c r="A11" s="23" t="s">
        <v>20</v>
      </c>
      <c r="B11" s="24" t="s">
        <v>4</v>
      </c>
      <c r="C11" s="23" t="s">
        <v>5</v>
      </c>
      <c r="D11" s="27" t="s">
        <v>21</v>
      </c>
      <c r="E11" s="26"/>
      <c r="F11" s="26"/>
      <c r="G11" s="26"/>
      <c r="H11" s="26"/>
      <c r="I11" s="26"/>
      <c r="J11" s="26"/>
      <c r="K11" s="25" t="s">
        <v>22</v>
      </c>
      <c r="L11" s="25" t="s">
        <v>23</v>
      </c>
      <c r="M11" s="25" t="s">
        <v>24</v>
      </c>
      <c r="N11" s="25" t="s">
        <v>25</v>
      </c>
      <c r="O11" s="25" t="s">
        <v>26</v>
      </c>
      <c r="P11" s="25" t="s">
        <v>27</v>
      </c>
      <c r="Q11" s="25" t="s">
        <v>28</v>
      </c>
      <c r="R11" s="27" t="s">
        <v>29</v>
      </c>
    </row>
    <row r="12" spans="1:19" ht="15.75" x14ac:dyDescent="0.25">
      <c r="A12" s="20" t="s">
        <v>30</v>
      </c>
      <c r="B12" s="13"/>
      <c r="C12" s="12"/>
      <c r="D12" s="22">
        <v>37876.269999999997</v>
      </c>
      <c r="E12" s="11"/>
      <c r="F12" s="11"/>
      <c r="G12" s="11"/>
      <c r="H12" s="11"/>
      <c r="I12" s="11"/>
      <c r="J12" s="11"/>
      <c r="K12" s="14">
        <f>D7</f>
        <v>8.9334862882970156E-2</v>
      </c>
      <c r="L12" s="12">
        <f>$D$12*$K$7</f>
        <v>186.10192628325959</v>
      </c>
      <c r="M12" s="12">
        <f>D12*$L$7</f>
        <v>118.42849854389246</v>
      </c>
      <c r="N12" s="12">
        <f>D12*$M$7</f>
        <v>431.07973469976855</v>
      </c>
      <c r="O12" s="12">
        <f>D12*$N$7</f>
        <v>93.389330280326618</v>
      </c>
      <c r="P12" s="12">
        <f>D12*$O$7</f>
        <v>1421.1419825267094</v>
      </c>
      <c r="Q12" s="63">
        <f>D12*$P$7</f>
        <v>1133.5299146343991</v>
      </c>
      <c r="R12" s="12">
        <f>SUM(L12:Q12)</f>
        <v>3383.6713869683558</v>
      </c>
      <c r="S12" s="3"/>
    </row>
    <row r="13" spans="1:19" ht="15.75" x14ac:dyDescent="0.25">
      <c r="A13" s="20" t="s">
        <v>31</v>
      </c>
      <c r="B13" s="13"/>
      <c r="C13" s="12"/>
      <c r="D13" s="22"/>
      <c r="E13" s="11"/>
      <c r="F13" s="11"/>
      <c r="G13" s="11"/>
      <c r="H13" s="11"/>
      <c r="I13" s="11"/>
      <c r="J13" s="11"/>
      <c r="K13" s="14">
        <f>D7-P7</f>
        <v>5.940768381717515E-2</v>
      </c>
      <c r="L13" s="12">
        <f>D13*$K$7</f>
        <v>0</v>
      </c>
      <c r="M13" s="12">
        <f>D13*$L$7</f>
        <v>0</v>
      </c>
      <c r="N13" s="12">
        <f>D13*$M$7</f>
        <v>0</v>
      </c>
      <c r="O13" s="12">
        <f>D13*$N$7</f>
        <v>0</v>
      </c>
      <c r="P13" s="12">
        <f>D13*$O$7</f>
        <v>0</v>
      </c>
      <c r="Q13" s="31" t="s">
        <v>32</v>
      </c>
      <c r="R13" s="12">
        <f t="shared" ref="R13:R20" si="1">SUM(L13:Q13)</f>
        <v>0</v>
      </c>
      <c r="S13" s="3"/>
    </row>
    <row r="14" spans="1:19" ht="15.75" x14ac:dyDescent="0.25">
      <c r="A14" s="20" t="s">
        <v>33</v>
      </c>
      <c r="B14" s="13"/>
      <c r="C14" s="12"/>
      <c r="D14" s="22"/>
      <c r="E14" s="11"/>
      <c r="F14" s="11"/>
      <c r="G14" s="11"/>
      <c r="H14" s="11"/>
      <c r="I14" s="11"/>
      <c r="J14" s="11"/>
      <c r="K14" s="14">
        <f>D7-M7-N7</f>
        <v>7.548795913610977E-2</v>
      </c>
      <c r="L14" s="12">
        <f>$D$14*K7</f>
        <v>0</v>
      </c>
      <c r="M14" s="12">
        <f>D14*L7</f>
        <v>0</v>
      </c>
      <c r="N14" s="30" t="s">
        <v>34</v>
      </c>
      <c r="O14" s="30" t="s">
        <v>34</v>
      </c>
      <c r="P14" s="12">
        <f>D14*O7</f>
        <v>0</v>
      </c>
      <c r="Q14" s="12">
        <f>D14*$P$7</f>
        <v>0</v>
      </c>
      <c r="R14" s="12">
        <f t="shared" si="1"/>
        <v>0</v>
      </c>
    </row>
    <row r="15" spans="1:19" ht="15.75" x14ac:dyDescent="0.25">
      <c r="A15" s="20" t="s">
        <v>35</v>
      </c>
      <c r="B15" s="13"/>
      <c r="C15" s="12"/>
      <c r="D15" s="22"/>
      <c r="E15" s="11"/>
      <c r="F15" s="11"/>
      <c r="G15" s="11"/>
      <c r="H15" s="11"/>
      <c r="I15" s="11"/>
      <c r="J15" s="11"/>
      <c r="K15" s="14">
        <f>D7-M7-N7-P7</f>
        <v>4.5560780070314763E-2</v>
      </c>
      <c r="L15" s="12">
        <f>D15*K7</f>
        <v>0</v>
      </c>
      <c r="M15" s="12">
        <f>D15*L7</f>
        <v>0</v>
      </c>
      <c r="N15" s="30" t="s">
        <v>34</v>
      </c>
      <c r="O15" s="30" t="s">
        <v>34</v>
      </c>
      <c r="P15" s="12">
        <f>D15*O7</f>
        <v>0</v>
      </c>
      <c r="Q15" s="31" t="s">
        <v>32</v>
      </c>
      <c r="R15" s="12">
        <f t="shared" si="1"/>
        <v>0</v>
      </c>
    </row>
    <row r="16" spans="1:19" ht="15.75" x14ac:dyDescent="0.25">
      <c r="A16" s="20"/>
      <c r="B16" s="13"/>
      <c r="C16" s="12"/>
      <c r="D16" s="22"/>
      <c r="E16" s="11"/>
      <c r="F16" s="11"/>
      <c r="G16" s="11"/>
      <c r="H16" s="11"/>
      <c r="I16" s="11"/>
      <c r="J16" s="11"/>
      <c r="K16" s="39"/>
      <c r="L16" s="40"/>
      <c r="M16" s="40"/>
      <c r="N16" s="40"/>
      <c r="O16" s="40"/>
      <c r="P16" s="40"/>
      <c r="Q16" s="40"/>
      <c r="R16" s="12">
        <f t="shared" si="1"/>
        <v>0</v>
      </c>
    </row>
    <row r="17" spans="1:18" ht="15.75" x14ac:dyDescent="0.25">
      <c r="A17" s="20"/>
      <c r="B17" s="13"/>
      <c r="C17" s="12"/>
      <c r="D17" s="22"/>
      <c r="E17" s="11"/>
      <c r="F17" s="11"/>
      <c r="G17" s="11"/>
      <c r="H17" s="11"/>
      <c r="I17" s="11"/>
      <c r="J17" s="11"/>
      <c r="K17" s="39"/>
      <c r="L17" s="40"/>
      <c r="M17" s="40"/>
      <c r="N17" s="40"/>
      <c r="O17" s="40"/>
      <c r="P17" s="40"/>
      <c r="Q17" s="40"/>
      <c r="R17" s="12">
        <f t="shared" si="1"/>
        <v>0</v>
      </c>
    </row>
    <row r="18" spans="1:18" ht="15.75" x14ac:dyDescent="0.25">
      <c r="A18" s="21"/>
      <c r="B18" s="13"/>
      <c r="C18" s="12"/>
      <c r="D18" s="22"/>
      <c r="E18" s="11"/>
      <c r="F18" s="11"/>
      <c r="G18" s="11"/>
      <c r="H18" s="11"/>
      <c r="I18" s="11"/>
      <c r="J18" s="11"/>
      <c r="K18" s="39"/>
      <c r="L18" s="40"/>
      <c r="M18" s="40"/>
      <c r="N18" s="40"/>
      <c r="O18" s="40"/>
      <c r="P18" s="40"/>
      <c r="Q18" s="40"/>
      <c r="R18" s="12">
        <f t="shared" si="1"/>
        <v>0</v>
      </c>
    </row>
    <row r="19" spans="1:18" ht="15.75" x14ac:dyDescent="0.25">
      <c r="A19" s="21"/>
      <c r="B19" s="13"/>
      <c r="C19" s="12"/>
      <c r="D19" s="22"/>
      <c r="E19" s="11"/>
      <c r="F19" s="11"/>
      <c r="G19" s="11"/>
      <c r="H19" s="11"/>
      <c r="I19" s="11"/>
      <c r="J19" s="11"/>
      <c r="K19" s="39"/>
      <c r="L19" s="40"/>
      <c r="M19" s="40"/>
      <c r="N19" s="40"/>
      <c r="O19" s="40"/>
      <c r="P19" s="40"/>
      <c r="Q19" s="40"/>
      <c r="R19" s="12">
        <f t="shared" si="1"/>
        <v>0</v>
      </c>
    </row>
    <row r="20" spans="1:18" ht="15.75" x14ac:dyDescent="0.25">
      <c r="A20" s="21"/>
      <c r="B20" s="13"/>
      <c r="C20" s="12"/>
      <c r="D20" s="22"/>
      <c r="E20" s="11"/>
      <c r="F20" s="11"/>
      <c r="G20" s="11"/>
      <c r="H20" s="11"/>
      <c r="I20" s="11"/>
      <c r="J20" s="11"/>
      <c r="K20" s="39"/>
      <c r="L20" s="40"/>
      <c r="M20" s="40"/>
      <c r="N20" s="40"/>
      <c r="O20" s="40"/>
      <c r="P20" s="40"/>
      <c r="Q20" s="40"/>
      <c r="R20" s="12">
        <f t="shared" si="1"/>
        <v>0</v>
      </c>
    </row>
    <row r="21" spans="1:18" x14ac:dyDescent="0.25">
      <c r="A21" s="15" t="s">
        <v>36</v>
      </c>
      <c r="B21" s="16"/>
      <c r="C21" s="15"/>
      <c r="D21" s="18">
        <f>SUM(D12:D20)</f>
        <v>37876.269999999997</v>
      </c>
      <c r="E21" s="17"/>
      <c r="F21" s="17"/>
      <c r="G21" s="17"/>
      <c r="H21" s="17"/>
      <c r="I21" s="17"/>
      <c r="J21" s="17"/>
      <c r="K21" s="29"/>
      <c r="L21" s="18">
        <f t="shared" ref="L21:R21" si="2">SUM(L12:L20)</f>
        <v>186.10192628325959</v>
      </c>
      <c r="M21" s="18">
        <f t="shared" si="2"/>
        <v>118.42849854389246</v>
      </c>
      <c r="N21" s="18">
        <f t="shared" si="2"/>
        <v>431.07973469976855</v>
      </c>
      <c r="O21" s="18">
        <f t="shared" si="2"/>
        <v>93.389330280326618</v>
      </c>
      <c r="P21" s="18">
        <f t="shared" si="2"/>
        <v>1421.1419825267094</v>
      </c>
      <c r="Q21" s="18">
        <f t="shared" si="2"/>
        <v>1133.5299146343991</v>
      </c>
      <c r="R21" s="18">
        <f t="shared" si="2"/>
        <v>3383.6713869683558</v>
      </c>
    </row>
  </sheetData>
  <sheetProtection formatColumns="0"/>
  <pageMargins left="0.25" right="0.25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5"/>
  <sheetViews>
    <sheetView workbookViewId="0">
      <selection activeCell="L7" sqref="L7:R7"/>
    </sheetView>
  </sheetViews>
  <sheetFormatPr defaultRowHeight="15" x14ac:dyDescent="0.25"/>
  <cols>
    <col min="1" max="1" width="37.5703125" style="3" customWidth="1"/>
    <col min="2" max="2" width="20" style="1" hidden="1" customWidth="1"/>
    <col min="3" max="3" width="23" style="3" hidden="1" customWidth="1"/>
    <col min="4" max="4" width="22.140625" style="2" customWidth="1"/>
    <col min="5" max="5" width="21.7109375" style="2" hidden="1" customWidth="1"/>
    <col min="6" max="6" width="22.140625" style="2" hidden="1" customWidth="1"/>
    <col min="7" max="7" width="24.140625" style="2" hidden="1" customWidth="1"/>
    <col min="8" max="8" width="28.5703125" style="2" hidden="1" customWidth="1"/>
    <col min="9" max="9" width="21.28515625" style="2" hidden="1" customWidth="1"/>
    <col min="10" max="11" width="20.28515625" style="2" hidden="1" customWidth="1"/>
    <col min="12" max="17" width="14.140625" style="2" bestFit="1" customWidth="1"/>
    <col min="18" max="18" width="13.85546875" customWidth="1"/>
    <col min="19" max="19" width="14.7109375" bestFit="1" customWidth="1"/>
    <col min="20" max="20" width="16.28515625" bestFit="1" customWidth="1"/>
  </cols>
  <sheetData>
    <row r="1" spans="1:20" ht="17.25" x14ac:dyDescent="0.3">
      <c r="A1" s="5" t="s">
        <v>37</v>
      </c>
    </row>
    <row r="2" spans="1:20" x14ac:dyDescent="0.25">
      <c r="A2" s="4" t="s">
        <v>1</v>
      </c>
    </row>
    <row r="3" spans="1:20" x14ac:dyDescent="0.25">
      <c r="A3" s="4"/>
    </row>
    <row r="4" spans="1:20" x14ac:dyDescent="0.25">
      <c r="A4" s="4"/>
    </row>
    <row r="5" spans="1:20" ht="17.25" x14ac:dyDescent="0.3">
      <c r="A5" s="5" t="s">
        <v>2</v>
      </c>
    </row>
    <row r="6" spans="1:20" ht="18.75" x14ac:dyDescent="0.3">
      <c r="A6" s="6" t="s">
        <v>3</v>
      </c>
      <c r="B6" s="7" t="s">
        <v>4</v>
      </c>
      <c r="C6" s="6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11</v>
      </c>
      <c r="J6" s="60" t="s">
        <v>38</v>
      </c>
      <c r="K6" s="60" t="s">
        <v>12</v>
      </c>
      <c r="L6" s="60" t="s">
        <v>13</v>
      </c>
      <c r="M6" s="60" t="s">
        <v>14</v>
      </c>
      <c r="N6" s="60" t="s">
        <v>15</v>
      </c>
      <c r="O6" s="60" t="s">
        <v>16</v>
      </c>
      <c r="P6" s="60" t="s">
        <v>17</v>
      </c>
      <c r="Q6" s="60" t="s">
        <v>39</v>
      </c>
      <c r="R6" s="60" t="s">
        <v>18</v>
      </c>
    </row>
    <row r="7" spans="1:20" ht="18.75" x14ac:dyDescent="0.3">
      <c r="A7" s="9">
        <v>0</v>
      </c>
      <c r="B7" s="10">
        <f>IF(A7&lt;=180000,0.045,IF(AND(A7&gt;180000,A7&lt;=360000),0.078,IF(AND(A7&gt;360000,A7&lt;=720000),0.1,IF(AND(A7&gt;720000,A7&lt;=1800000),0.112,IF(AND(A7&gt;1800000,A7&lt;=3600000),0.147,IF(AND(A7&gt;A7&gt;3600000,A7&lt;=4800000),0.3))))))</f>
        <v>4.4999999999999998E-2</v>
      </c>
      <c r="C7" s="8">
        <f>IF(A7&lt;=180000,0,IF(AND(A7&gt;180000,A7&lt;=360000),5940,IF(AND(A7&gt;360000,A7&lt;=720000),13860,IF(AND(A7&gt;720000,A7&lt;=1800000),22500,IF(AND(A7&gt;1800000,A7&lt;=3600000),85500,IF(AND(A7&gt;A7&gt;3600000,A7&lt;=4800000),720000))))))</f>
        <v>0</v>
      </c>
      <c r="D7" s="19">
        <f>IF(A7=0,B7,((A7*B7)-C7)/A7)</f>
        <v>4.4999999999999998E-2</v>
      </c>
      <c r="E7" s="19">
        <f>IF(AND(A7&gt;=0,A7&lt;=3600000),0.055,IF(AND(A7&gt;3600000,A7&lt;=4800000),0.085))</f>
        <v>5.5E-2</v>
      </c>
      <c r="F7" s="19">
        <f>IF(AND(A7&gt;=0,A7&lt;=3600000),0.035,IF(AND(A7&gt;3600000,A7&lt;=4800000),0.075))</f>
        <v>3.5000000000000003E-2</v>
      </c>
      <c r="G7" s="19">
        <f>IF(AND(A7&gt;=0,A7&lt;=3600000),0.1151,IF(AND(A7&gt;3600000,A7&lt;=4800000),0.2096))</f>
        <v>0.11509999999999999</v>
      </c>
      <c r="H7" s="19">
        <f>IF(AND(A7&gt;=0,A7&lt;=3600000),0.0249,IF(AND(A7&gt;3600000,A7&lt;=4800000),0.0454))</f>
        <v>2.4899999999999999E-2</v>
      </c>
      <c r="I7" s="19">
        <f>IF(AND(A7&gt;=0,A7&lt;=3600000),0.375,IF(AND(A7&gt;3600000,A7&lt;=4800000),0.235))</f>
        <v>0.375</v>
      </c>
      <c r="J7" s="19">
        <f>IF(AND(A7&gt;=0,A7&lt;=3600000),0.075,IF(AND(A7&gt;3600000,A7&lt;=4800000),0.35))</f>
        <v>7.4999999999999997E-2</v>
      </c>
      <c r="K7" s="19">
        <f>IF(AND(A7&gt;=0,A7&lt;=3600000),0.32,IF(AND(A7&gt;3600000,A7&lt;=4800000),0))</f>
        <v>0.32</v>
      </c>
      <c r="L7" s="19">
        <f t="shared" ref="L7:R7" si="0">$D$7*E7</f>
        <v>2.4749999999999998E-3</v>
      </c>
      <c r="M7" s="19">
        <f t="shared" si="0"/>
        <v>1.575E-3</v>
      </c>
      <c r="N7" s="19">
        <f t="shared" si="0"/>
        <v>5.1794999999999992E-3</v>
      </c>
      <c r="O7" s="19">
        <f t="shared" si="0"/>
        <v>1.1205E-3</v>
      </c>
      <c r="P7" s="19">
        <f t="shared" si="0"/>
        <v>1.6875000000000001E-2</v>
      </c>
      <c r="Q7" s="19">
        <f t="shared" si="0"/>
        <v>3.375E-3</v>
      </c>
      <c r="R7" s="19">
        <f t="shared" si="0"/>
        <v>1.44E-2</v>
      </c>
    </row>
    <row r="10" spans="1:20" ht="17.25" x14ac:dyDescent="0.3">
      <c r="A10" s="5" t="s">
        <v>19</v>
      </c>
    </row>
    <row r="11" spans="1:20" ht="31.5" customHeight="1" x14ac:dyDescent="0.25">
      <c r="A11" s="23" t="s">
        <v>20</v>
      </c>
      <c r="B11" s="24" t="s">
        <v>4</v>
      </c>
      <c r="C11" s="23" t="s">
        <v>5</v>
      </c>
      <c r="D11" s="27" t="s">
        <v>21</v>
      </c>
      <c r="E11" s="26"/>
      <c r="F11" s="26"/>
      <c r="G11" s="26"/>
      <c r="H11" s="26"/>
      <c r="I11" s="26"/>
      <c r="J11" s="26"/>
      <c r="K11" s="26"/>
      <c r="L11" s="25" t="s">
        <v>22</v>
      </c>
      <c r="M11" s="25" t="s">
        <v>23</v>
      </c>
      <c r="N11" s="25" t="s">
        <v>24</v>
      </c>
      <c r="O11" s="25" t="s">
        <v>25</v>
      </c>
      <c r="P11" s="25" t="s">
        <v>26</v>
      </c>
      <c r="Q11" s="25" t="s">
        <v>27</v>
      </c>
      <c r="R11" s="25" t="s">
        <v>40</v>
      </c>
      <c r="S11" s="25" t="s">
        <v>28</v>
      </c>
      <c r="T11" s="27" t="s">
        <v>29</v>
      </c>
    </row>
    <row r="12" spans="1:20" ht="15.75" x14ac:dyDescent="0.25">
      <c r="A12" s="20" t="s">
        <v>30</v>
      </c>
      <c r="B12" s="13"/>
      <c r="C12" s="12"/>
      <c r="D12" s="22"/>
      <c r="E12" s="11"/>
      <c r="F12" s="11"/>
      <c r="G12" s="11"/>
      <c r="H12" s="11"/>
      <c r="I12" s="11"/>
      <c r="J12" s="11"/>
      <c r="K12" s="11"/>
      <c r="L12" s="14">
        <f>D7</f>
        <v>4.4999999999999998E-2</v>
      </c>
      <c r="M12" s="12">
        <f>$D$12*$L$7</f>
        <v>0</v>
      </c>
      <c r="N12" s="12">
        <f>D12*$M$7</f>
        <v>0</v>
      </c>
      <c r="O12" s="12">
        <f>D12*$N$7</f>
        <v>0</v>
      </c>
      <c r="P12" s="12">
        <f>D12*$O$7</f>
        <v>0</v>
      </c>
      <c r="Q12" s="12">
        <f>D12*$P$7</f>
        <v>0</v>
      </c>
      <c r="R12" s="12">
        <f>D12*$Q$7</f>
        <v>0</v>
      </c>
      <c r="S12" s="12">
        <f>D12*$R$7</f>
        <v>0</v>
      </c>
      <c r="T12" s="12">
        <f>SUM(M12:S12)</f>
        <v>0</v>
      </c>
    </row>
    <row r="13" spans="1:20" ht="15.75" x14ac:dyDescent="0.25">
      <c r="A13" s="20" t="s">
        <v>31</v>
      </c>
      <c r="B13" s="13"/>
      <c r="C13" s="12"/>
      <c r="D13" s="22"/>
      <c r="E13" s="11"/>
      <c r="F13" s="11"/>
      <c r="G13" s="11"/>
      <c r="H13" s="11"/>
      <c r="I13" s="11"/>
      <c r="J13" s="11"/>
      <c r="K13" s="11"/>
      <c r="L13" s="14">
        <f>D7-R7</f>
        <v>3.0599999999999999E-2</v>
      </c>
      <c r="M13" s="12">
        <f>D13*$L$7</f>
        <v>0</v>
      </c>
      <c r="N13" s="12">
        <f t="shared" ref="N13" si="1">D13*$M$7</f>
        <v>0</v>
      </c>
      <c r="O13" s="12">
        <f t="shared" ref="O13" si="2">D13*$N$7</f>
        <v>0</v>
      </c>
      <c r="P13" s="12">
        <f t="shared" ref="P13" si="3">D13*$O$7</f>
        <v>0</v>
      </c>
      <c r="Q13" s="12">
        <f t="shared" ref="Q13" si="4">D13*$P$7</f>
        <v>0</v>
      </c>
      <c r="R13" s="12">
        <f>D13*$Q$7</f>
        <v>0</v>
      </c>
      <c r="S13" s="31" t="s">
        <v>32</v>
      </c>
      <c r="T13" s="12">
        <f t="shared" ref="T13:T20" si="5">SUM(M13:S13)</f>
        <v>0</v>
      </c>
    </row>
    <row r="14" spans="1:20" ht="15.75" x14ac:dyDescent="0.25">
      <c r="A14" s="20" t="s">
        <v>33</v>
      </c>
      <c r="B14" s="13"/>
      <c r="C14" s="12"/>
      <c r="D14" s="22"/>
      <c r="E14" s="11"/>
      <c r="F14" s="11"/>
      <c r="G14" s="11"/>
      <c r="H14" s="11"/>
      <c r="I14" s="11"/>
      <c r="J14" s="11"/>
      <c r="K14" s="11"/>
      <c r="L14" s="14">
        <f>D7-N7-O7</f>
        <v>3.8699999999999998E-2</v>
      </c>
      <c r="M14" s="12">
        <f>$D$14*L7</f>
        <v>0</v>
      </c>
      <c r="N14" s="12">
        <f>D14*M7</f>
        <v>0</v>
      </c>
      <c r="O14" s="30" t="s">
        <v>34</v>
      </c>
      <c r="P14" s="30" t="s">
        <v>34</v>
      </c>
      <c r="Q14" s="12">
        <f>D14*P7</f>
        <v>0</v>
      </c>
      <c r="R14" s="12">
        <f>D14*$Q$7</f>
        <v>0</v>
      </c>
      <c r="S14" s="12">
        <f>D14*$R$7</f>
        <v>0</v>
      </c>
      <c r="T14" s="12">
        <f t="shared" si="5"/>
        <v>0</v>
      </c>
    </row>
    <row r="15" spans="1:20" ht="15.75" x14ac:dyDescent="0.25">
      <c r="A15" s="20" t="s">
        <v>35</v>
      </c>
      <c r="B15" s="13"/>
      <c r="C15" s="12"/>
      <c r="D15" s="22"/>
      <c r="E15" s="11"/>
      <c r="F15" s="11"/>
      <c r="G15" s="11"/>
      <c r="H15" s="11"/>
      <c r="I15" s="11"/>
      <c r="J15" s="11"/>
      <c r="K15" s="11"/>
      <c r="L15" s="14">
        <f>D7-N7-O7-R7</f>
        <v>2.4299999999999999E-2</v>
      </c>
      <c r="M15" s="12">
        <f>D15*L7</f>
        <v>0</v>
      </c>
      <c r="N15" s="12">
        <f>D15*M7</f>
        <v>0</v>
      </c>
      <c r="O15" s="30" t="s">
        <v>34</v>
      </c>
      <c r="P15" s="30" t="s">
        <v>34</v>
      </c>
      <c r="Q15" s="12">
        <f>D15*P7</f>
        <v>0</v>
      </c>
      <c r="R15" s="12">
        <f>D15*$Q$7</f>
        <v>0</v>
      </c>
      <c r="S15" s="31" t="s">
        <v>32</v>
      </c>
      <c r="T15" s="12">
        <f t="shared" si="5"/>
        <v>0</v>
      </c>
    </row>
    <row r="16" spans="1:20" ht="15.75" x14ac:dyDescent="0.25">
      <c r="A16" s="28"/>
      <c r="B16" s="13"/>
      <c r="C16" s="12"/>
      <c r="D16" s="22"/>
      <c r="E16" s="11"/>
      <c r="F16" s="11"/>
      <c r="G16" s="11"/>
      <c r="H16" s="11"/>
      <c r="I16" s="11"/>
      <c r="J16" s="11"/>
      <c r="K16" s="11"/>
      <c r="L16" s="39"/>
      <c r="M16" s="40"/>
      <c r="N16" s="40"/>
      <c r="O16" s="40"/>
      <c r="P16" s="40"/>
      <c r="Q16" s="40"/>
      <c r="R16" s="40"/>
      <c r="S16" s="40"/>
      <c r="T16" s="12">
        <f t="shared" si="5"/>
        <v>0</v>
      </c>
    </row>
    <row r="17" spans="1:20" ht="15.75" x14ac:dyDescent="0.25">
      <c r="A17" s="20"/>
      <c r="B17" s="13"/>
      <c r="C17" s="12"/>
      <c r="D17" s="22"/>
      <c r="E17" s="11"/>
      <c r="F17" s="11"/>
      <c r="G17" s="11"/>
      <c r="H17" s="11"/>
      <c r="I17" s="11"/>
      <c r="J17" s="11"/>
      <c r="K17" s="11"/>
      <c r="L17" s="39"/>
      <c r="M17" s="40"/>
      <c r="N17" s="40"/>
      <c r="O17" s="40"/>
      <c r="P17" s="40"/>
      <c r="Q17" s="40"/>
      <c r="R17" s="40"/>
      <c r="S17" s="40"/>
      <c r="T17" s="12">
        <f t="shared" si="5"/>
        <v>0</v>
      </c>
    </row>
    <row r="18" spans="1:20" ht="15.75" x14ac:dyDescent="0.25">
      <c r="A18" s="21"/>
      <c r="B18" s="13"/>
      <c r="C18" s="12"/>
      <c r="D18" s="22"/>
      <c r="E18" s="11"/>
      <c r="F18" s="11"/>
      <c r="G18" s="11"/>
      <c r="H18" s="11"/>
      <c r="I18" s="11"/>
      <c r="J18" s="11"/>
      <c r="K18" s="11"/>
      <c r="L18" s="39"/>
      <c r="M18" s="40"/>
      <c r="N18" s="40"/>
      <c r="O18" s="40"/>
      <c r="P18" s="40"/>
      <c r="Q18" s="40"/>
      <c r="R18" s="40"/>
      <c r="S18" s="40"/>
      <c r="T18" s="12">
        <f t="shared" si="5"/>
        <v>0</v>
      </c>
    </row>
    <row r="19" spans="1:20" ht="15.75" x14ac:dyDescent="0.25">
      <c r="A19" s="21"/>
      <c r="B19" s="13"/>
      <c r="C19" s="12"/>
      <c r="D19" s="22"/>
      <c r="E19" s="11"/>
      <c r="F19" s="11"/>
      <c r="G19" s="11"/>
      <c r="H19" s="11"/>
      <c r="I19" s="11"/>
      <c r="J19" s="11"/>
      <c r="K19" s="11"/>
      <c r="L19" s="39"/>
      <c r="M19" s="40"/>
      <c r="N19" s="40"/>
      <c r="O19" s="40"/>
      <c r="P19" s="40"/>
      <c r="Q19" s="40"/>
      <c r="R19" s="40"/>
      <c r="S19" s="40"/>
      <c r="T19" s="12">
        <f t="shared" si="5"/>
        <v>0</v>
      </c>
    </row>
    <row r="20" spans="1:20" ht="15.75" x14ac:dyDescent="0.25">
      <c r="A20" s="28"/>
      <c r="B20" s="13"/>
      <c r="C20" s="12"/>
      <c r="D20" s="22"/>
      <c r="E20" s="11"/>
      <c r="F20" s="11"/>
      <c r="G20" s="11"/>
      <c r="H20" s="11"/>
      <c r="I20" s="11"/>
      <c r="J20" s="11"/>
      <c r="K20" s="11"/>
      <c r="L20" s="39"/>
      <c r="M20" s="40"/>
      <c r="N20" s="40"/>
      <c r="O20" s="40"/>
      <c r="P20" s="40"/>
      <c r="Q20" s="40"/>
      <c r="R20" s="40"/>
      <c r="S20" s="40"/>
      <c r="T20" s="12">
        <f t="shared" si="5"/>
        <v>0</v>
      </c>
    </row>
    <row r="21" spans="1:20" x14ac:dyDescent="0.25">
      <c r="A21" s="15" t="s">
        <v>36</v>
      </c>
      <c r="B21" s="16"/>
      <c r="C21" s="15"/>
      <c r="D21" s="18">
        <f>SUM(D12:D20)</f>
        <v>0</v>
      </c>
      <c r="E21" s="17"/>
      <c r="F21" s="17"/>
      <c r="G21" s="17"/>
      <c r="H21" s="17"/>
      <c r="I21" s="17"/>
      <c r="J21" s="17"/>
      <c r="K21" s="17"/>
      <c r="L21" s="29"/>
      <c r="M21" s="18">
        <f t="shared" ref="M21:R21" si="6">SUM(M12:M20)</f>
        <v>0</v>
      </c>
      <c r="N21" s="18">
        <f t="shared" si="6"/>
        <v>0</v>
      </c>
      <c r="O21" s="18">
        <f t="shared" si="6"/>
        <v>0</v>
      </c>
      <c r="P21" s="18">
        <f t="shared" si="6"/>
        <v>0</v>
      </c>
      <c r="Q21" s="18">
        <f t="shared" si="6"/>
        <v>0</v>
      </c>
      <c r="R21" s="18">
        <f t="shared" si="6"/>
        <v>0</v>
      </c>
      <c r="S21" s="18">
        <f t="shared" ref="S21" si="7">SUM(S12:S20)</f>
        <v>0</v>
      </c>
      <c r="T21" s="18">
        <f>SUM(T12:T20)</f>
        <v>0</v>
      </c>
    </row>
    <row r="23" spans="1:20" ht="47.25" x14ac:dyDescent="0.25">
      <c r="A23" s="23" t="s">
        <v>20</v>
      </c>
      <c r="B23" s="24" t="s">
        <v>4</v>
      </c>
      <c r="C23" s="23" t="s">
        <v>5</v>
      </c>
      <c r="D23" s="27" t="s">
        <v>21</v>
      </c>
      <c r="E23" s="26"/>
      <c r="F23" s="26"/>
      <c r="G23" s="26"/>
      <c r="H23" s="26"/>
      <c r="I23" s="26"/>
      <c r="J23" s="26"/>
      <c r="K23" s="26"/>
      <c r="L23" s="25" t="s">
        <v>22</v>
      </c>
      <c r="M23" s="25" t="s">
        <v>23</v>
      </c>
      <c r="N23" s="25" t="s">
        <v>24</v>
      </c>
      <c r="O23" s="25" t="s">
        <v>25</v>
      </c>
      <c r="P23" s="25" t="s">
        <v>26</v>
      </c>
      <c r="Q23" s="25" t="s">
        <v>27</v>
      </c>
      <c r="R23" s="25" t="s">
        <v>40</v>
      </c>
      <c r="S23" s="27" t="s">
        <v>41</v>
      </c>
      <c r="T23" s="27" t="s">
        <v>29</v>
      </c>
    </row>
    <row r="24" spans="1:20" ht="26.25" x14ac:dyDescent="0.25">
      <c r="A24" s="28" t="s">
        <v>42</v>
      </c>
      <c r="B24" s="13"/>
      <c r="C24" s="12"/>
      <c r="D24" s="22"/>
      <c r="E24" s="42"/>
      <c r="F24" s="42"/>
      <c r="G24" s="42"/>
      <c r="H24" s="42"/>
      <c r="I24" s="42"/>
      <c r="J24" s="42"/>
      <c r="K24" s="42"/>
      <c r="L24" s="39"/>
      <c r="M24" s="40"/>
      <c r="N24" s="40"/>
      <c r="O24" s="45"/>
      <c r="P24" s="45"/>
      <c r="Q24" s="40"/>
      <c r="R24" s="40"/>
      <c r="S24" s="41"/>
      <c r="T24" s="12">
        <f t="shared" ref="T24" si="8">SUM(M24:S24)</f>
        <v>0</v>
      </c>
    </row>
    <row r="25" spans="1:20" ht="26.25" x14ac:dyDescent="0.25">
      <c r="A25" s="28" t="s">
        <v>43</v>
      </c>
      <c r="B25" s="13"/>
      <c r="C25" s="12"/>
      <c r="D25" s="22"/>
      <c r="E25" s="42"/>
      <c r="F25" s="42"/>
      <c r="G25" s="42"/>
      <c r="H25" s="42"/>
      <c r="I25" s="42"/>
      <c r="J25" s="42"/>
      <c r="K25" s="42"/>
      <c r="L25" s="39"/>
      <c r="M25" s="40"/>
      <c r="N25" s="40"/>
      <c r="O25" s="45"/>
      <c r="P25" s="45"/>
      <c r="Q25" s="40"/>
      <c r="R25" s="40"/>
      <c r="S25" s="44" t="s">
        <v>44</v>
      </c>
      <c r="T25" s="12">
        <f t="shared" ref="T25" si="9">SUM(M25:S25)</f>
        <v>0</v>
      </c>
    </row>
  </sheetData>
  <sheetProtection sheet="1" objects="1" scenarios="1" formatColumns="0"/>
  <pageMargins left="0.25" right="0.25" top="0.75" bottom="0.75" header="0.3" footer="0.3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Y24"/>
  <sheetViews>
    <sheetView zoomScaleNormal="100" workbookViewId="0">
      <selection activeCell="D11" sqref="D11"/>
    </sheetView>
  </sheetViews>
  <sheetFormatPr defaultRowHeight="15" x14ac:dyDescent="0.25"/>
  <cols>
    <col min="1" max="1" width="37.5703125" style="3" customWidth="1"/>
    <col min="2" max="2" width="20" style="1" hidden="1" customWidth="1"/>
    <col min="3" max="3" width="23" style="3" hidden="1" customWidth="1"/>
    <col min="4" max="4" width="22.5703125" style="2" customWidth="1"/>
    <col min="5" max="5" width="21.7109375" style="2" hidden="1" customWidth="1"/>
    <col min="6" max="6" width="22.140625" style="2" hidden="1" customWidth="1"/>
    <col min="7" max="7" width="24.140625" style="2" hidden="1" customWidth="1"/>
    <col min="8" max="8" width="28.5703125" style="2" hidden="1" customWidth="1"/>
    <col min="9" max="9" width="21.28515625" style="2" hidden="1" customWidth="1"/>
    <col min="10" max="10" width="20.28515625" style="2" hidden="1" customWidth="1"/>
    <col min="11" max="15" width="14.140625" style="2" bestFit="1" customWidth="1"/>
    <col min="16" max="16" width="15.28515625" style="2" customWidth="1"/>
    <col min="17" max="17" width="15.7109375" customWidth="1"/>
    <col min="18" max="18" width="14.7109375" bestFit="1" customWidth="1"/>
    <col min="19" max="19" width="16.28515625" hidden="1" customWidth="1"/>
    <col min="20" max="20" width="17.7109375" hidden="1" customWidth="1"/>
    <col min="21" max="21" width="15.5703125" hidden="1" customWidth="1"/>
    <col min="22" max="22" width="17.85546875" hidden="1" customWidth="1"/>
    <col min="23" max="23" width="15.140625" hidden="1" customWidth="1"/>
    <col min="24" max="25" width="10.85546875" hidden="1" customWidth="1"/>
  </cols>
  <sheetData>
    <row r="1" spans="1:25" ht="17.25" x14ac:dyDescent="0.3">
      <c r="A1" s="5" t="s">
        <v>45</v>
      </c>
    </row>
    <row r="2" spans="1:25" x14ac:dyDescent="0.25">
      <c r="A2" s="4" t="s">
        <v>1</v>
      </c>
    </row>
    <row r="3" spans="1:25" x14ac:dyDescent="0.25">
      <c r="A3" s="4"/>
    </row>
    <row r="4" spans="1:25" x14ac:dyDescent="0.25">
      <c r="A4" s="4"/>
    </row>
    <row r="5" spans="1:25" ht="17.25" x14ac:dyDescent="0.3">
      <c r="A5" s="5" t="s">
        <v>2</v>
      </c>
    </row>
    <row r="6" spans="1:25" ht="18.75" x14ac:dyDescent="0.3">
      <c r="A6" s="6" t="s">
        <v>3</v>
      </c>
      <c r="B6" s="7" t="s">
        <v>4</v>
      </c>
      <c r="C6" s="6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11</v>
      </c>
      <c r="J6" s="60" t="s">
        <v>46</v>
      </c>
      <c r="K6" s="60" t="s">
        <v>13</v>
      </c>
      <c r="L6" s="60" t="s">
        <v>14</v>
      </c>
      <c r="M6" s="60" t="s">
        <v>15</v>
      </c>
      <c r="N6" s="60" t="s">
        <v>16</v>
      </c>
      <c r="O6" s="60" t="s">
        <v>17</v>
      </c>
      <c r="P6" s="60" t="s">
        <v>47</v>
      </c>
      <c r="Q6" s="61"/>
      <c r="R6" s="61"/>
      <c r="S6" s="62" t="s">
        <v>48</v>
      </c>
      <c r="T6" s="62"/>
      <c r="U6" s="60" t="s">
        <v>23</v>
      </c>
      <c r="V6" s="60" t="s">
        <v>24</v>
      </c>
      <c r="W6" s="60" t="s">
        <v>49</v>
      </c>
      <c r="X6" s="60" t="s">
        <v>50</v>
      </c>
      <c r="Y6" s="60" t="s">
        <v>27</v>
      </c>
    </row>
    <row r="7" spans="1:25" ht="18.75" x14ac:dyDescent="0.3">
      <c r="A7" s="9">
        <v>1273695.18</v>
      </c>
      <c r="B7" s="10">
        <f>IF(A7&lt;=180000,0.06,IF(AND(A7&gt;180000,A7&lt;=360000),0.112,IF(AND(A7&gt;360000,A7&lt;=720000),0.135,IF(AND(A7&gt;720000,A7&lt;=1800000),0.16,IF(AND(A7&gt;1800000,A7&lt;=3600000),0.21,IF(AND(A7&gt;A7&gt;3600000,A7&lt;=4800000),0.33))))))</f>
        <v>0.16</v>
      </c>
      <c r="C7" s="8">
        <f>IF(A7&lt;=180000,0,IF(AND(A7&gt;180000,A7&lt;=360000),9360,IF(AND(A7&gt;360000,A7&lt;=720000),17640,IF(AND(A7&gt;720000,A7&lt;=1800000),35640,IF(AND(A7&gt;1800000,A7&lt;=3600000),125640,IF(AND(A7&gt;A7&gt;3600000,A7&lt;=4800000),648000))))))</f>
        <v>35640</v>
      </c>
      <c r="D7" s="19">
        <f>IF(A7=0,B7,((A7*B7)-C7)/A7)</f>
        <v>0.13201842280662474</v>
      </c>
      <c r="E7" s="19">
        <f>IF(AND(A7&gt;=0,A7&lt;=3600000),0.04,IF(AND(A7&gt;3600000,A7&lt;=4800000),0.35))</f>
        <v>0.04</v>
      </c>
      <c r="F7" s="19">
        <f>IF(AND(A7&gt;=0,A7&lt;=3600000),0.035,IF(AND(A7&gt;3600000,A7&lt;=4800000),0.15))</f>
        <v>3.5000000000000003E-2</v>
      </c>
      <c r="G7" s="19">
        <f>IF(A7&lt;=180000,0.1282,IF(AND(A7&gt;180000,A7&lt;=360000),0.1405,IF(AND(A7&gt;360000,A7&lt;=720000),0.1364,IF(AND(A7&gt;720000,A7&lt;=1800000),0.1364,IF(AND(A7&gt;1800000,A7&lt;=3600000),0.1282,IF(AND(A7&gt;3600000,A7&lt;=4800000),0.1603))))))</f>
        <v>0.13639999999999999</v>
      </c>
      <c r="H7" s="19">
        <f>IF(A7&lt;=180000,0.0278,IF(AND(A7&gt;180000,A7&lt;=360000),0.0305,IF(AND(A7&gt;360000,A7&lt;=1800000),0.0296,IF(AND(A7&gt;1800000,A7&lt;=3600000),0.0278,IF(AND(A7&gt;3600000,A7&lt;=4800000),0.0347)))))</f>
        <v>2.9600000000000001E-2</v>
      </c>
      <c r="I7" s="19">
        <f>IF(AND(A7&gt;=0,A7&lt;=3600000),0.434,IF(AND(A7&gt;3600000,A7&lt;=4800000),0.305))</f>
        <v>0.434</v>
      </c>
      <c r="J7" s="19">
        <f>IF(A7&lt;=180000,0.335,IF(AND(A7&gt;180000,A7&lt;=360000),0.32,IF(AND(A7&gt;360000,A7&lt;=1800000),0.325,IF(AND(A7&gt;1800000,A7&lt;=2068274.29),0.335,IF(AND(A7&gt;2068274.29,A7&lt;=3600000),0)))))</f>
        <v>0.32500000000000001</v>
      </c>
      <c r="K7" s="19">
        <f>$D$7*E7</f>
        <v>5.2807369122649895E-3</v>
      </c>
      <c r="L7" s="19">
        <f>$D$7*F7</f>
        <v>4.6206447982318662E-3</v>
      </c>
      <c r="M7" s="19">
        <f>$D$7*G7</f>
        <v>1.8007312870823612E-2</v>
      </c>
      <c r="N7" s="19">
        <f>$D$7*H7</f>
        <v>3.9077453150760926E-3</v>
      </c>
      <c r="O7" s="19">
        <f>$D$7*I7</f>
        <v>5.7295995498075132E-2</v>
      </c>
      <c r="P7" s="19">
        <f>IF(J7=0,0.05,D7*J7)</f>
        <v>4.290598741215304E-2</v>
      </c>
      <c r="Q7" s="36"/>
      <c r="R7" s="36"/>
      <c r="S7" s="37">
        <f>IF(A7&gt;2068274.29,0.335,0)</f>
        <v>0</v>
      </c>
      <c r="T7" s="38">
        <f>IF(S7&gt;0,D7*S7-P7,0)</f>
        <v>0</v>
      </c>
      <c r="U7" s="35">
        <f>$T$7*6.02%</f>
        <v>0</v>
      </c>
      <c r="V7" s="35">
        <f>$T$7*5.26%</f>
        <v>0</v>
      </c>
      <c r="W7" s="35">
        <f>$T$7*19.28%</f>
        <v>0</v>
      </c>
      <c r="X7" s="35">
        <f>$T$7*4.18%</f>
        <v>0</v>
      </c>
      <c r="Y7" s="35">
        <f>$T$7*65.26%</f>
        <v>0</v>
      </c>
    </row>
    <row r="8" spans="1:25" x14ac:dyDescent="0.25">
      <c r="U8" s="34"/>
      <c r="V8" s="34"/>
      <c r="W8" s="34"/>
      <c r="X8" s="34"/>
      <c r="Y8" s="34"/>
    </row>
    <row r="9" spans="1:25" ht="17.25" x14ac:dyDescent="0.3">
      <c r="A9" s="5" t="s">
        <v>19</v>
      </c>
      <c r="U9" s="34"/>
      <c r="V9" s="34"/>
      <c r="W9" s="34"/>
      <c r="X9" s="34"/>
      <c r="Y9" s="34"/>
    </row>
    <row r="10" spans="1:25" ht="31.5" customHeight="1" x14ac:dyDescent="0.25">
      <c r="A10" s="23" t="s">
        <v>20</v>
      </c>
      <c r="B10" s="24" t="s">
        <v>4</v>
      </c>
      <c r="C10" s="23" t="s">
        <v>5</v>
      </c>
      <c r="D10" s="27" t="s">
        <v>21</v>
      </c>
      <c r="E10" s="26"/>
      <c r="F10" s="26"/>
      <c r="G10" s="26"/>
      <c r="H10" s="26"/>
      <c r="I10" s="26"/>
      <c r="J10" s="26"/>
      <c r="K10" s="25" t="s">
        <v>22</v>
      </c>
      <c r="L10" s="25" t="s">
        <v>23</v>
      </c>
      <c r="M10" s="25" t="s">
        <v>24</v>
      </c>
      <c r="N10" s="25" t="s">
        <v>25</v>
      </c>
      <c r="O10" s="25" t="s">
        <v>26</v>
      </c>
      <c r="P10" s="25" t="s">
        <v>27</v>
      </c>
      <c r="Q10" s="25" t="s">
        <v>51</v>
      </c>
      <c r="R10" s="27" t="s">
        <v>29</v>
      </c>
    </row>
    <row r="11" spans="1:25" ht="15.75" x14ac:dyDescent="0.25">
      <c r="A11" s="20" t="s">
        <v>52</v>
      </c>
      <c r="B11" s="13"/>
      <c r="C11" s="12"/>
      <c r="D11" s="22">
        <v>2691.9</v>
      </c>
      <c r="E11" s="11"/>
      <c r="F11" s="11"/>
      <c r="G11" s="11"/>
      <c r="H11" s="11"/>
      <c r="I11" s="11"/>
      <c r="J11" s="11"/>
      <c r="K11" s="14">
        <f>D7</f>
        <v>0.13201842280662474</v>
      </c>
      <c r="L11" s="12">
        <f>($D$11*K7)+($D$11*U7)</f>
        <v>14.215215694126126</v>
      </c>
      <c r="M11" s="12">
        <f>($D$11*L7)+($D$11*V7)</f>
        <v>12.438313732360362</v>
      </c>
      <c r="N11" s="12">
        <f>($D$11*M7)+($D$11*W7)</f>
        <v>48.473885516970086</v>
      </c>
      <c r="O11" s="12">
        <f>($D$11*N7)+($D$11*X7)</f>
        <v>10.519259613653334</v>
      </c>
      <c r="P11" s="12">
        <f>($D$11*O7)+($D$11*Y7)</f>
        <v>154.23509028126844</v>
      </c>
      <c r="Q11" s="12">
        <f>$D$11*P7</f>
        <v>115.49862751477477</v>
      </c>
      <c r="R11" s="12">
        <f t="shared" ref="R11:R16" si="0">SUM(L11:Q11)</f>
        <v>355.38039235315307</v>
      </c>
      <c r="S11" s="3"/>
    </row>
    <row r="12" spans="1:25" ht="15.75" x14ac:dyDescent="0.25">
      <c r="A12" s="20" t="s">
        <v>53</v>
      </c>
      <c r="B12" s="13"/>
      <c r="C12" s="12"/>
      <c r="D12" s="22">
        <v>0</v>
      </c>
      <c r="E12" s="11"/>
      <c r="F12" s="11"/>
      <c r="G12" s="11"/>
      <c r="H12" s="11"/>
      <c r="I12" s="11"/>
      <c r="J12" s="11"/>
      <c r="K12" s="14">
        <f>$D$7-$P$7-$T$7</f>
        <v>8.9112435394471695E-2</v>
      </c>
      <c r="L12" s="12">
        <f>$D$12*K7</f>
        <v>0</v>
      </c>
      <c r="M12" s="12">
        <f t="shared" ref="M12:P12" si="1">$D$12*L7</f>
        <v>0</v>
      </c>
      <c r="N12" s="12">
        <f t="shared" si="1"/>
        <v>0</v>
      </c>
      <c r="O12" s="12">
        <f t="shared" si="1"/>
        <v>0</v>
      </c>
      <c r="P12" s="12">
        <f t="shared" si="1"/>
        <v>0</v>
      </c>
      <c r="Q12" s="31" t="s">
        <v>44</v>
      </c>
      <c r="R12" s="12">
        <f t="shared" si="0"/>
        <v>0</v>
      </c>
      <c r="S12" s="3"/>
    </row>
    <row r="13" spans="1:25" ht="15.75" x14ac:dyDescent="0.25">
      <c r="A13" s="32" t="s">
        <v>54</v>
      </c>
      <c r="B13" s="13"/>
      <c r="C13" s="12"/>
      <c r="D13" s="22"/>
      <c r="E13" s="11"/>
      <c r="F13" s="11"/>
      <c r="G13" s="11"/>
      <c r="H13" s="11"/>
      <c r="I13" s="11"/>
      <c r="J13" s="11"/>
      <c r="K13" s="14">
        <f>$D$7-$P$7-$T$7</f>
        <v>8.9112435394471695E-2</v>
      </c>
      <c r="L13" s="12">
        <f>$D$13*K7</f>
        <v>0</v>
      </c>
      <c r="M13" s="12">
        <f t="shared" ref="M13:P13" si="2">$D$13*L7</f>
        <v>0</v>
      </c>
      <c r="N13" s="12">
        <f t="shared" si="2"/>
        <v>0</v>
      </c>
      <c r="O13" s="12">
        <f t="shared" si="2"/>
        <v>0</v>
      </c>
      <c r="P13" s="12">
        <f t="shared" si="2"/>
        <v>0</v>
      </c>
      <c r="Q13" s="31" t="s">
        <v>55</v>
      </c>
      <c r="R13" s="12">
        <f t="shared" si="0"/>
        <v>0</v>
      </c>
    </row>
    <row r="14" spans="1:25" ht="15.75" x14ac:dyDescent="0.25">
      <c r="A14" s="32" t="s">
        <v>56</v>
      </c>
      <c r="B14" s="13"/>
      <c r="C14" s="12"/>
      <c r="D14" s="22"/>
      <c r="E14" s="11"/>
      <c r="F14" s="11"/>
      <c r="G14" s="11"/>
      <c r="H14" s="11"/>
      <c r="I14" s="11"/>
      <c r="J14" s="11"/>
      <c r="K14" s="14">
        <f>$D$7-$P$7-$T$7</f>
        <v>8.9112435394471695E-2</v>
      </c>
      <c r="L14" s="12">
        <f>$D$14*K7</f>
        <v>0</v>
      </c>
      <c r="M14" s="12">
        <f t="shared" ref="M14:P14" si="3">$D$14*L7</f>
        <v>0</v>
      </c>
      <c r="N14" s="12">
        <f t="shared" si="3"/>
        <v>0</v>
      </c>
      <c r="O14" s="12">
        <f t="shared" si="3"/>
        <v>0</v>
      </c>
      <c r="P14" s="12">
        <f t="shared" si="3"/>
        <v>0</v>
      </c>
      <c r="Q14" s="31" t="s">
        <v>57</v>
      </c>
      <c r="R14" s="12">
        <f t="shared" si="0"/>
        <v>0</v>
      </c>
    </row>
    <row r="15" spans="1:25" ht="26.25" x14ac:dyDescent="0.25">
      <c r="A15" s="21" t="s">
        <v>58</v>
      </c>
      <c r="B15" s="13"/>
      <c r="C15" s="12"/>
      <c r="D15" s="22"/>
      <c r="E15" s="11"/>
      <c r="F15" s="11"/>
      <c r="G15" s="11"/>
      <c r="H15" s="11"/>
      <c r="I15" s="11"/>
      <c r="J15" s="11"/>
      <c r="K15" s="14">
        <f>D7</f>
        <v>0.13201842280662474</v>
      </c>
      <c r="L15" s="12">
        <f>($D$15*K7)+($D$15*U7)</f>
        <v>0</v>
      </c>
      <c r="M15" s="12">
        <f t="shared" ref="M15:P15" si="4">($D$15*L7)+($D$15*V7)</f>
        <v>0</v>
      </c>
      <c r="N15" s="12">
        <f t="shared" si="4"/>
        <v>0</v>
      </c>
      <c r="O15" s="12">
        <f t="shared" si="4"/>
        <v>0</v>
      </c>
      <c r="P15" s="12">
        <f t="shared" si="4"/>
        <v>0</v>
      </c>
      <c r="Q15" s="12">
        <f>($D$15*P7)</f>
        <v>0</v>
      </c>
      <c r="R15" s="12">
        <f t="shared" si="0"/>
        <v>0</v>
      </c>
    </row>
    <row r="16" spans="1:25" ht="26.25" x14ac:dyDescent="0.25">
      <c r="A16" s="21" t="s">
        <v>59</v>
      </c>
      <c r="B16" s="13"/>
      <c r="C16" s="12"/>
      <c r="D16" s="22"/>
      <c r="E16" s="11"/>
      <c r="F16" s="11"/>
      <c r="G16" s="11"/>
      <c r="H16" s="11"/>
      <c r="I16" s="11"/>
      <c r="J16" s="11"/>
      <c r="K16" s="14">
        <f>$D$7-$P$7-$T$7</f>
        <v>8.9112435394471695E-2</v>
      </c>
      <c r="L16" s="12">
        <f>$D$16*K7</f>
        <v>0</v>
      </c>
      <c r="M16" s="12">
        <f t="shared" ref="M16:P16" si="5">$D$16*L7</f>
        <v>0</v>
      </c>
      <c r="N16" s="12">
        <f t="shared" si="5"/>
        <v>0</v>
      </c>
      <c r="O16" s="12">
        <f t="shared" si="5"/>
        <v>0</v>
      </c>
      <c r="P16" s="12">
        <f t="shared" si="5"/>
        <v>0</v>
      </c>
      <c r="Q16" s="31" t="s">
        <v>44</v>
      </c>
      <c r="R16" s="12">
        <f t="shared" si="0"/>
        <v>0</v>
      </c>
    </row>
    <row r="17" spans="1:23" ht="39" x14ac:dyDescent="0.25">
      <c r="A17" s="33" t="s">
        <v>60</v>
      </c>
      <c r="B17" s="13"/>
      <c r="C17" s="12"/>
      <c r="D17" s="22"/>
      <c r="E17" s="11"/>
      <c r="F17" s="11"/>
      <c r="G17" s="11"/>
      <c r="H17" s="11"/>
      <c r="I17" s="11"/>
      <c r="J17" s="11"/>
      <c r="K17" s="39"/>
      <c r="L17" s="40"/>
      <c r="M17" s="40"/>
      <c r="N17" s="40"/>
      <c r="O17" s="40"/>
      <c r="P17" s="40"/>
      <c r="Q17" s="41"/>
      <c r="R17" s="12">
        <f t="shared" ref="R17:R18" si="6">SUM(L17:Q17)</f>
        <v>0</v>
      </c>
    </row>
    <row r="18" spans="1:23" ht="39" x14ac:dyDescent="0.25">
      <c r="A18" s="33" t="s">
        <v>61</v>
      </c>
      <c r="B18" s="13"/>
      <c r="C18" s="12"/>
      <c r="D18" s="22"/>
      <c r="E18" s="11"/>
      <c r="F18" s="11"/>
      <c r="G18" s="11"/>
      <c r="H18" s="11"/>
      <c r="I18" s="11"/>
      <c r="J18" s="11"/>
      <c r="K18" s="39"/>
      <c r="L18" s="40"/>
      <c r="M18" s="40"/>
      <c r="N18" s="40"/>
      <c r="O18" s="40"/>
      <c r="P18" s="40"/>
      <c r="Q18" s="44" t="s">
        <v>44</v>
      </c>
      <c r="R18" s="12">
        <f t="shared" si="6"/>
        <v>0</v>
      </c>
    </row>
    <row r="19" spans="1:23" x14ac:dyDescent="0.25">
      <c r="A19" s="15" t="s">
        <v>36</v>
      </c>
      <c r="B19" s="16"/>
      <c r="C19" s="15"/>
      <c r="D19" s="18">
        <f>SUM(D11:D18)</f>
        <v>2691.9</v>
      </c>
      <c r="E19" s="17"/>
      <c r="F19" s="17"/>
      <c r="G19" s="17"/>
      <c r="H19" s="17"/>
      <c r="I19" s="17"/>
      <c r="J19" s="17"/>
      <c r="K19" s="29"/>
      <c r="L19" s="18">
        <f t="shared" ref="L19:R19" si="7">SUM(L11:L18)</f>
        <v>14.215215694126126</v>
      </c>
      <c r="M19" s="18">
        <f t="shared" si="7"/>
        <v>12.438313732360362</v>
      </c>
      <c r="N19" s="18">
        <f t="shared" si="7"/>
        <v>48.473885516970086</v>
      </c>
      <c r="O19" s="18">
        <f t="shared" si="7"/>
        <v>10.519259613653334</v>
      </c>
      <c r="P19" s="18">
        <f t="shared" si="7"/>
        <v>154.23509028126844</v>
      </c>
      <c r="Q19" s="18">
        <f t="shared" si="7"/>
        <v>115.49862751477477</v>
      </c>
      <c r="R19" s="18">
        <f t="shared" si="7"/>
        <v>355.38039235315307</v>
      </c>
    </row>
    <row r="21" spans="1:23" ht="31.5" x14ac:dyDescent="0.3">
      <c r="A21" s="23" t="s">
        <v>20</v>
      </c>
      <c r="B21" s="24" t="s">
        <v>4</v>
      </c>
      <c r="C21" s="23" t="s">
        <v>5</v>
      </c>
      <c r="D21" s="27" t="s">
        <v>21</v>
      </c>
      <c r="E21" s="26"/>
      <c r="F21" s="26"/>
      <c r="G21" s="26"/>
      <c r="H21" s="26"/>
      <c r="I21" s="26"/>
      <c r="J21" s="26"/>
      <c r="K21" s="25" t="s">
        <v>22</v>
      </c>
      <c r="L21" s="25" t="s">
        <v>23</v>
      </c>
      <c r="M21" s="25" t="s">
        <v>24</v>
      </c>
      <c r="N21" s="25" t="s">
        <v>25</v>
      </c>
      <c r="O21" s="25" t="s">
        <v>26</v>
      </c>
      <c r="P21" s="25" t="s">
        <v>27</v>
      </c>
      <c r="Q21" s="27" t="s">
        <v>62</v>
      </c>
      <c r="R21" s="27" t="s">
        <v>29</v>
      </c>
      <c r="S21" s="7" t="s">
        <v>4</v>
      </c>
      <c r="T21" s="6" t="s">
        <v>5</v>
      </c>
      <c r="U21" s="60" t="s">
        <v>6</v>
      </c>
      <c r="V21" s="60" t="s">
        <v>12</v>
      </c>
      <c r="W21" s="60" t="s">
        <v>18</v>
      </c>
    </row>
    <row r="22" spans="1:23" ht="52.5" x14ac:dyDescent="0.3">
      <c r="A22" s="21" t="s">
        <v>63</v>
      </c>
      <c r="B22" s="13"/>
      <c r="C22" s="12"/>
      <c r="D22" s="46"/>
      <c r="E22" s="47"/>
      <c r="F22" s="47"/>
      <c r="G22" s="47"/>
      <c r="H22" s="47"/>
      <c r="I22" s="47"/>
      <c r="J22" s="47"/>
      <c r="K22" s="48">
        <f>D7-P7+W22</f>
        <v>0.1190396144602667</v>
      </c>
      <c r="L22" s="49">
        <f>($D$22*K7)</f>
        <v>0</v>
      </c>
      <c r="M22" s="49">
        <f>($D$22*L7)</f>
        <v>0</v>
      </c>
      <c r="N22" s="49">
        <f>($D$22*M7)</f>
        <v>0</v>
      </c>
      <c r="O22" s="49">
        <f>($D$22*N7)</f>
        <v>0</v>
      </c>
      <c r="P22" s="49">
        <f>($D$22*O7)</f>
        <v>0</v>
      </c>
      <c r="Q22" s="50">
        <f>W22*D22</f>
        <v>0</v>
      </c>
      <c r="R22" s="49">
        <f>SUM(L22:Q22)</f>
        <v>0</v>
      </c>
      <c r="S22" s="10">
        <f>IF(A7&lt;=180000,0.04,IF(AND(A7&gt;180000,A7&lt;=360000),0.073,IF(AND(A7&gt;360000,A7&lt;=720000),0.095,IF(AND(A7&gt;720000,A7&lt;=1800000),0.107,IF(AND(A7&gt;1800000,A7&lt;=3600000),0.143,IF(AND(A7&gt;A7&gt;3600000,A7&lt;=4800000),0.19))))))</f>
        <v>0.107</v>
      </c>
      <c r="T22" s="8">
        <f>IF(A7&lt;=180000,0,IF(AND(A7&gt;180000,A7&lt;=360000),5940,IF(AND(A7&gt;360000,A7&lt;=720000),13860,IF(AND(A7&gt;720000,A7&lt;=1800000),22500,IF(AND(A7&gt;1800000,A7&lt;=3600000),87300,IF(AND(A7&gt;A7&gt;3600000,A7&lt;=4800000),378000))))))</f>
        <v>22500</v>
      </c>
      <c r="U22" s="19">
        <f>IF(A7=0,S22,((A7*S22)-T22)/A7)</f>
        <v>8.9334862882970156E-2</v>
      </c>
      <c r="V22" s="19">
        <f>IF(AND(A7&gt;=0,A7&lt;=360000),0.34,IF(AND(A7&gt;360000,A7&lt;=3600000),0.335,IF(AND(A7&gt;3600000,A7&lt;=4800000),0)))</f>
        <v>0.33500000000000002</v>
      </c>
      <c r="W22" s="19">
        <f>U22*V22</f>
        <v>2.9927179065795003E-2</v>
      </c>
    </row>
    <row r="23" spans="1:23" ht="51.75" customHeight="1" x14ac:dyDescent="0.25">
      <c r="A23" s="21" t="s">
        <v>64</v>
      </c>
      <c r="B23" s="13"/>
      <c r="C23" s="12"/>
      <c r="D23" s="22"/>
      <c r="E23" s="42"/>
      <c r="F23" s="42"/>
      <c r="G23" s="42"/>
      <c r="H23" s="42"/>
      <c r="I23" s="42"/>
      <c r="J23" s="42"/>
      <c r="K23" s="51">
        <f>D7-P7</f>
        <v>8.9112435394471695E-2</v>
      </c>
      <c r="L23" s="52">
        <f>($D$23*K7)</f>
        <v>0</v>
      </c>
      <c r="M23" s="52">
        <f t="shared" ref="M23:P23" si="8">($D$23*L7)</f>
        <v>0</v>
      </c>
      <c r="N23" s="52">
        <f t="shared" si="8"/>
        <v>0</v>
      </c>
      <c r="O23" s="52">
        <f t="shared" si="8"/>
        <v>0</v>
      </c>
      <c r="P23" s="52">
        <f t="shared" si="8"/>
        <v>0</v>
      </c>
      <c r="Q23" s="53" t="s">
        <v>32</v>
      </c>
      <c r="R23" s="54">
        <f>SUM(L23:Q23)</f>
        <v>0</v>
      </c>
    </row>
    <row r="24" spans="1:23" x14ac:dyDescent="0.25">
      <c r="A24" s="15" t="s">
        <v>36</v>
      </c>
      <c r="B24" s="16"/>
      <c r="C24" s="15"/>
      <c r="D24" s="18">
        <f>SUM(D22:D23)</f>
        <v>0</v>
      </c>
      <c r="E24" s="17"/>
      <c r="F24" s="17"/>
      <c r="G24" s="17"/>
      <c r="H24" s="17"/>
      <c r="I24" s="17"/>
      <c r="J24" s="17"/>
      <c r="K24" s="29"/>
      <c r="L24" s="18">
        <f t="shared" ref="L24:R24" si="9">SUM(L22:L23)</f>
        <v>0</v>
      </c>
      <c r="M24" s="18">
        <f t="shared" si="9"/>
        <v>0</v>
      </c>
      <c r="N24" s="18">
        <f t="shared" si="9"/>
        <v>0</v>
      </c>
      <c r="O24" s="18">
        <f t="shared" si="9"/>
        <v>0</v>
      </c>
      <c r="P24" s="18">
        <f t="shared" si="9"/>
        <v>0</v>
      </c>
      <c r="Q24" s="18">
        <f t="shared" si="9"/>
        <v>0</v>
      </c>
      <c r="R24" s="18">
        <f t="shared" si="9"/>
        <v>0</v>
      </c>
    </row>
  </sheetData>
  <sheetProtection sheet="1" objects="1" scenarios="1" formatColumns="0"/>
  <mergeCells count="2">
    <mergeCell ref="Q6:R6"/>
    <mergeCell ref="S6:T6"/>
  </mergeCells>
  <pageMargins left="0.25" right="0.25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"/>
  <sheetViews>
    <sheetView workbookViewId="0">
      <selection activeCell="D11" sqref="D11"/>
    </sheetView>
  </sheetViews>
  <sheetFormatPr defaultRowHeight="15" x14ac:dyDescent="0.25"/>
  <cols>
    <col min="1" max="1" width="37.5703125" style="3" customWidth="1"/>
    <col min="2" max="2" width="20" style="1" hidden="1" customWidth="1"/>
    <col min="3" max="3" width="23" style="3" hidden="1" customWidth="1"/>
    <col min="4" max="4" width="22.5703125" style="2" customWidth="1"/>
    <col min="5" max="5" width="21.7109375" style="2" hidden="1" customWidth="1"/>
    <col min="6" max="6" width="22.140625" style="2" hidden="1" customWidth="1"/>
    <col min="7" max="7" width="24.140625" style="2" hidden="1" customWidth="1"/>
    <col min="8" max="8" width="28.5703125" style="2" hidden="1" customWidth="1"/>
    <col min="9" max="9" width="21.28515625" style="2" hidden="1" customWidth="1"/>
    <col min="10" max="14" width="14.140625" style="2" bestFit="1" customWidth="1"/>
    <col min="15" max="15" width="15.7109375" customWidth="1"/>
    <col min="16" max="16" width="14.7109375" bestFit="1" customWidth="1"/>
    <col min="17" max="17" width="16.28515625" hidden="1" customWidth="1"/>
    <col min="18" max="18" width="11.5703125" hidden="1" customWidth="1"/>
    <col min="19" max="19" width="11.140625" hidden="1" customWidth="1"/>
    <col min="20" max="20" width="10.85546875" hidden="1" customWidth="1"/>
    <col min="21" max="21" width="10.140625" hidden="1" customWidth="1"/>
    <col min="22" max="22" width="10.85546875" hidden="1" customWidth="1"/>
  </cols>
  <sheetData>
    <row r="1" spans="1:22" ht="17.25" x14ac:dyDescent="0.3">
      <c r="A1" s="5" t="s">
        <v>65</v>
      </c>
    </row>
    <row r="2" spans="1:22" x14ac:dyDescent="0.25">
      <c r="A2" s="4" t="s">
        <v>1</v>
      </c>
    </row>
    <row r="3" spans="1:22" x14ac:dyDescent="0.25">
      <c r="A3" s="4"/>
    </row>
    <row r="4" spans="1:22" x14ac:dyDescent="0.25">
      <c r="A4" s="4"/>
    </row>
    <row r="5" spans="1:22" ht="17.25" x14ac:dyDescent="0.3">
      <c r="A5" s="5" t="s">
        <v>2</v>
      </c>
    </row>
    <row r="6" spans="1:22" ht="18.75" x14ac:dyDescent="0.3">
      <c r="A6" s="6" t="s">
        <v>3</v>
      </c>
      <c r="B6" s="7" t="s">
        <v>4</v>
      </c>
      <c r="C6" s="6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46</v>
      </c>
      <c r="J6" s="60" t="s">
        <v>13</v>
      </c>
      <c r="K6" s="60" t="s">
        <v>14</v>
      </c>
      <c r="L6" s="60" t="s">
        <v>15</v>
      </c>
      <c r="M6" s="60" t="s">
        <v>16</v>
      </c>
      <c r="N6" s="60" t="s">
        <v>47</v>
      </c>
      <c r="O6" s="61"/>
      <c r="P6" s="61"/>
      <c r="Q6" s="62" t="s">
        <v>48</v>
      </c>
      <c r="R6" s="62"/>
      <c r="S6" s="60" t="s">
        <v>23</v>
      </c>
      <c r="T6" s="60" t="s">
        <v>24</v>
      </c>
      <c r="U6" s="60" t="s">
        <v>49</v>
      </c>
      <c r="V6" s="60" t="s">
        <v>50</v>
      </c>
    </row>
    <row r="7" spans="1:22" ht="18.75" x14ac:dyDescent="0.3">
      <c r="A7" s="9"/>
      <c r="B7" s="10">
        <f>IF(A7&lt;=180000,0.045,IF(AND(A7&gt;180000,A7&lt;=360000),0.09,IF(AND(A7&gt;360000,A7&lt;=720000),0.102,IF(AND(A7&gt;720000,A7&lt;=1800000),0.14,IF(AND(A7&gt;1800000,A7&lt;=3600000),0.22,IF(AND(A7&gt;A7&gt;3600000,A7&lt;=4800000),0.33))))))</f>
        <v>4.4999999999999998E-2</v>
      </c>
      <c r="C7" s="8">
        <f>IF(A7&lt;=180000,0,IF(AND(A7&gt;180000,A7&lt;=360000),8100,IF(AND(A7&gt;360000,A7&lt;=720000),12420,IF(AND(A7&gt;720000,A7&lt;=1800000),39780,IF(AND(A7&gt;1800000,A7&lt;=3600000),183780,IF(AND(A7&gt;A7&gt;3600000,A7&lt;=4800000),828000))))))</f>
        <v>0</v>
      </c>
      <c r="D7" s="19">
        <f>IF(A7=0,B7,((A7*B7)-C7)/A7)</f>
        <v>4.4999999999999998E-2</v>
      </c>
      <c r="E7" s="19">
        <f>IF(A7&lt;=180000,0.188,IF(AND(A7&gt;180000,A7&lt;=360000),0.198,IF(AND(A7&gt;360000,A7&lt;=720000),0.208,IF(AND(A7&gt;720000,A7&lt;=1800000),0.178,IF(AND(A7&gt;1800000,A7&lt;=3600000),0.188,IF(AND(A7&gt;3600000,A7&lt;=4800000),0.535))))))</f>
        <v>0.188</v>
      </c>
      <c r="F7" s="19">
        <f>IF(AND(A7&gt;=0,A7&lt;=720000),0.152,IF(AND(A7&gt;720000,A7&lt;=3600000),0.192,IF(AND(A7&gt;3600000,A7&lt;=4800000),0.215)))</f>
        <v>0.152</v>
      </c>
      <c r="G7" s="19">
        <f>IF(A7&lt;=180000,0.1767,IF(AND(A7&gt;180000,A7&lt;=360000),0.2055,IF(AND(A7&gt;360000,A7&lt;=720000),0.1973,IF(AND(A7&gt;720000,A7&lt;=1800000),0.189,IF(AND(A7&gt;1800000,A7&lt;=3600000),0.1808,IF(AND(A7&gt;3600000,A7&lt;=4800000),0.2055))))))</f>
        <v>0.1767</v>
      </c>
      <c r="H7" s="19">
        <f>IF(A7&lt;=180000,0.0383,IF(AND(A7&gt;180000,A7&lt;=360000),0.0445,IF(AND(A7&gt;360000,A7&lt;=720000),0.0427,IF(AND(A7&gt;720000,A7&lt;=1800000),0.041,IF(AND(A7&gt;1800000,A7&lt;=3600000),0.0392,IF(AND(A7&gt;3600000,A7&lt;=4800000),0.0445))))))</f>
        <v>3.8300000000000001E-2</v>
      </c>
      <c r="I7" s="19">
        <f>IF(A7&lt;=180000,0.445,IF(AND(A7&gt;180000,A7&lt;=1800000),0.4,IF(AND(A7&gt;1800000,A7&lt;=1934526.41),0.4,IF(AND(A7&gt;1934526.41,A7&lt;=4800000),0))))</f>
        <v>0.44500000000000001</v>
      </c>
      <c r="J7" s="19">
        <f>$D$7*E7</f>
        <v>8.4600000000000005E-3</v>
      </c>
      <c r="K7" s="19">
        <f>$D$7*F7</f>
        <v>6.8399999999999997E-3</v>
      </c>
      <c r="L7" s="19">
        <f>$D$7*G7</f>
        <v>7.9515000000000002E-3</v>
      </c>
      <c r="M7" s="19">
        <f>$D$7*H7</f>
        <v>1.7235E-3</v>
      </c>
      <c r="N7" s="19">
        <f>IF(I7=0,0.05,$D$7*I7)</f>
        <v>2.0025000000000001E-2</v>
      </c>
      <c r="O7" s="36"/>
      <c r="P7" s="36"/>
      <c r="Q7" s="37">
        <f>IF(A7&gt;1934526.41,0.4,0)</f>
        <v>0</v>
      </c>
      <c r="R7" s="38">
        <f>IF(Q7&gt;0,D7*Q7-N7,0)</f>
        <v>0</v>
      </c>
      <c r="S7" s="35">
        <f>$R$7*31.33%</f>
        <v>0</v>
      </c>
      <c r="T7" s="35">
        <f>$R$7*32%</f>
        <v>0</v>
      </c>
      <c r="U7" s="35">
        <f>$R$7*30.13%</f>
        <v>0</v>
      </c>
      <c r="V7" s="35">
        <f>$R$7*6.54%</f>
        <v>0</v>
      </c>
    </row>
    <row r="8" spans="1:22" x14ac:dyDescent="0.25">
      <c r="S8" s="34"/>
      <c r="T8" s="34"/>
      <c r="U8" s="34"/>
      <c r="V8" s="34"/>
    </row>
    <row r="9" spans="1:22" ht="17.25" x14ac:dyDescent="0.3">
      <c r="A9" s="5" t="s">
        <v>19</v>
      </c>
      <c r="S9" s="34"/>
      <c r="T9" s="34"/>
      <c r="U9" s="34"/>
      <c r="V9" s="34"/>
    </row>
    <row r="10" spans="1:22" ht="31.5" customHeight="1" x14ac:dyDescent="0.25">
      <c r="A10" s="23" t="s">
        <v>20</v>
      </c>
      <c r="B10" s="24" t="s">
        <v>4</v>
      </c>
      <c r="C10" s="23" t="s">
        <v>5</v>
      </c>
      <c r="D10" s="27" t="s">
        <v>21</v>
      </c>
      <c r="E10" s="26"/>
      <c r="F10" s="26"/>
      <c r="G10" s="26"/>
      <c r="H10" s="26"/>
      <c r="I10" s="26"/>
      <c r="J10" s="25" t="s">
        <v>22</v>
      </c>
      <c r="K10" s="25" t="s">
        <v>23</v>
      </c>
      <c r="L10" s="25" t="s">
        <v>24</v>
      </c>
      <c r="M10" s="25" t="s">
        <v>25</v>
      </c>
      <c r="N10" s="25" t="s">
        <v>26</v>
      </c>
      <c r="O10" s="25" t="s">
        <v>51</v>
      </c>
      <c r="P10" s="27" t="s">
        <v>29</v>
      </c>
    </row>
    <row r="11" spans="1:22" ht="15.75" x14ac:dyDescent="0.25">
      <c r="A11" s="20" t="s">
        <v>52</v>
      </c>
      <c r="B11" s="13"/>
      <c r="C11" s="12"/>
      <c r="D11" s="22"/>
      <c r="E11" s="11"/>
      <c r="F11" s="11"/>
      <c r="G11" s="11"/>
      <c r="H11" s="11"/>
      <c r="I11" s="11"/>
      <c r="J11" s="14">
        <f>D7</f>
        <v>4.4999999999999998E-2</v>
      </c>
      <c r="K11" s="12">
        <f>($D$11*J7)+($D$11*S7)</f>
        <v>0</v>
      </c>
      <c r="L11" s="12">
        <f>($D$11*K7)+($D$11*T7)</f>
        <v>0</v>
      </c>
      <c r="M11" s="12">
        <f>($D$11*L7)+($D$11*U7)</f>
        <v>0</v>
      </c>
      <c r="N11" s="12">
        <f>($D$11*M7)+($D$11*V7)</f>
        <v>0</v>
      </c>
      <c r="O11" s="12">
        <f>$D$11*N7</f>
        <v>0</v>
      </c>
      <c r="P11" s="12">
        <f t="shared" ref="P11:P18" si="0">SUM(K11:O11)</f>
        <v>0</v>
      </c>
      <c r="Q11" s="3"/>
    </row>
    <row r="12" spans="1:22" ht="15.75" x14ac:dyDescent="0.25">
      <c r="A12" s="20" t="s">
        <v>53</v>
      </c>
      <c r="B12" s="13"/>
      <c r="C12" s="12"/>
      <c r="D12" s="22"/>
      <c r="E12" s="11"/>
      <c r="F12" s="11"/>
      <c r="G12" s="11"/>
      <c r="H12" s="11"/>
      <c r="I12" s="11"/>
      <c r="J12" s="14">
        <f>$D$7-$N$7-$R$7</f>
        <v>2.4974999999999997E-2</v>
      </c>
      <c r="K12" s="12">
        <f>$D$12*J7</f>
        <v>0</v>
      </c>
      <c r="L12" s="12">
        <f t="shared" ref="L12:N12" si="1">$D$12*K7</f>
        <v>0</v>
      </c>
      <c r="M12" s="12">
        <f t="shared" si="1"/>
        <v>0</v>
      </c>
      <c r="N12" s="12">
        <f t="shared" si="1"/>
        <v>0</v>
      </c>
      <c r="O12" s="31" t="s">
        <v>44</v>
      </c>
      <c r="P12" s="12">
        <f t="shared" si="0"/>
        <v>0</v>
      </c>
      <c r="Q12" s="3"/>
    </row>
    <row r="13" spans="1:22" ht="39" x14ac:dyDescent="0.25">
      <c r="A13" s="33" t="s">
        <v>60</v>
      </c>
      <c r="B13" s="13"/>
      <c r="C13" s="12"/>
      <c r="D13" s="22"/>
      <c r="E13" s="42"/>
      <c r="F13" s="42"/>
      <c r="G13" s="42"/>
      <c r="H13" s="42"/>
      <c r="I13" s="42"/>
      <c r="J13" s="39"/>
      <c r="K13" s="40"/>
      <c r="L13" s="40"/>
      <c r="M13" s="40"/>
      <c r="N13" s="40"/>
      <c r="O13" s="41"/>
      <c r="P13" s="12">
        <f t="shared" si="0"/>
        <v>0</v>
      </c>
    </row>
    <row r="14" spans="1:22" ht="39" x14ac:dyDescent="0.25">
      <c r="A14" s="33" t="s">
        <v>61</v>
      </c>
      <c r="B14" s="13"/>
      <c r="C14" s="12"/>
      <c r="D14" s="22"/>
      <c r="E14" s="42"/>
      <c r="F14" s="42"/>
      <c r="G14" s="42"/>
      <c r="H14" s="42"/>
      <c r="I14" s="42"/>
      <c r="J14" s="39"/>
      <c r="K14" s="40"/>
      <c r="L14" s="40"/>
      <c r="M14" s="40"/>
      <c r="N14" s="40"/>
      <c r="O14" s="41"/>
      <c r="P14" s="12">
        <f t="shared" si="0"/>
        <v>0</v>
      </c>
    </row>
    <row r="15" spans="1:22" ht="15.75" x14ac:dyDescent="0.25">
      <c r="A15" s="21"/>
      <c r="B15" s="13"/>
      <c r="C15" s="12"/>
      <c r="D15" s="22"/>
      <c r="E15" s="42"/>
      <c r="F15" s="42"/>
      <c r="G15" s="42"/>
      <c r="H15" s="42"/>
      <c r="I15" s="42"/>
      <c r="J15" s="39"/>
      <c r="K15" s="40"/>
      <c r="L15" s="40"/>
      <c r="M15" s="40"/>
      <c r="N15" s="40"/>
      <c r="O15" s="40"/>
      <c r="P15" s="12">
        <f t="shared" si="0"/>
        <v>0</v>
      </c>
    </row>
    <row r="16" spans="1:22" ht="15.75" x14ac:dyDescent="0.25">
      <c r="A16" s="21"/>
      <c r="B16" s="13"/>
      <c r="C16" s="12"/>
      <c r="D16" s="22"/>
      <c r="E16" s="42"/>
      <c r="F16" s="42"/>
      <c r="G16" s="42"/>
      <c r="H16" s="42"/>
      <c r="I16" s="42"/>
      <c r="J16" s="39"/>
      <c r="K16" s="40"/>
      <c r="L16" s="40"/>
      <c r="M16" s="40"/>
      <c r="N16" s="40"/>
      <c r="O16" s="41"/>
      <c r="P16" s="12">
        <f t="shared" si="0"/>
        <v>0</v>
      </c>
    </row>
    <row r="17" spans="1:16" ht="15.75" x14ac:dyDescent="0.25">
      <c r="A17" s="33"/>
      <c r="B17" s="13"/>
      <c r="C17" s="12"/>
      <c r="D17" s="22"/>
      <c r="E17" s="42"/>
      <c r="F17" s="42"/>
      <c r="G17" s="42"/>
      <c r="H17" s="42"/>
      <c r="I17" s="42"/>
      <c r="J17" s="39"/>
      <c r="K17" s="40"/>
      <c r="L17" s="40"/>
      <c r="M17" s="40"/>
      <c r="N17" s="40"/>
      <c r="O17" s="41"/>
      <c r="P17" s="12">
        <f t="shared" si="0"/>
        <v>0</v>
      </c>
    </row>
    <row r="18" spans="1:16" ht="15.75" x14ac:dyDescent="0.25">
      <c r="A18" s="33"/>
      <c r="B18" s="13"/>
      <c r="C18" s="12"/>
      <c r="D18" s="22"/>
      <c r="E18" s="42"/>
      <c r="F18" s="42"/>
      <c r="G18" s="42"/>
      <c r="H18" s="42"/>
      <c r="I18" s="42"/>
      <c r="J18" s="39"/>
      <c r="K18" s="40"/>
      <c r="L18" s="40"/>
      <c r="M18" s="40"/>
      <c r="N18" s="40"/>
      <c r="O18" s="41"/>
      <c r="P18" s="12">
        <f t="shared" si="0"/>
        <v>0</v>
      </c>
    </row>
    <row r="19" spans="1:16" x14ac:dyDescent="0.25">
      <c r="A19" s="15" t="s">
        <v>36</v>
      </c>
      <c r="B19" s="16"/>
      <c r="C19" s="15"/>
      <c r="D19" s="18">
        <f>SUM(D11:D18)</f>
        <v>0</v>
      </c>
      <c r="E19" s="17"/>
      <c r="F19" s="17"/>
      <c r="G19" s="17"/>
      <c r="H19" s="17"/>
      <c r="I19" s="17"/>
      <c r="J19" s="29"/>
      <c r="K19" s="18">
        <f t="shared" ref="K19:P19" si="2">SUM(K11:K18)</f>
        <v>0</v>
      </c>
      <c r="L19" s="18">
        <f t="shared" si="2"/>
        <v>0</v>
      </c>
      <c r="M19" s="18">
        <f t="shared" si="2"/>
        <v>0</v>
      </c>
      <c r="N19" s="18">
        <f t="shared" si="2"/>
        <v>0</v>
      </c>
      <c r="O19" s="18">
        <f t="shared" si="2"/>
        <v>0</v>
      </c>
      <c r="P19" s="18">
        <f t="shared" si="2"/>
        <v>0</v>
      </c>
    </row>
  </sheetData>
  <sheetProtection sheet="1" objects="1" scenarios="1" formatColumns="0"/>
  <mergeCells count="2">
    <mergeCell ref="O6:P6"/>
    <mergeCell ref="Q6:R6"/>
  </mergeCells>
  <pageMargins left="0.25" right="0.25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9"/>
  <sheetViews>
    <sheetView tabSelected="1" workbookViewId="0">
      <selection activeCell="K7" sqref="K7:P7"/>
    </sheetView>
  </sheetViews>
  <sheetFormatPr defaultRowHeight="15" x14ac:dyDescent="0.25"/>
  <cols>
    <col min="1" max="1" width="37.5703125" style="3" customWidth="1"/>
    <col min="2" max="2" width="20" style="1" hidden="1" customWidth="1"/>
    <col min="3" max="3" width="23" style="3" hidden="1" customWidth="1"/>
    <col min="4" max="4" width="22.5703125" style="2" customWidth="1"/>
    <col min="5" max="5" width="21.7109375" style="2" hidden="1" customWidth="1"/>
    <col min="6" max="6" width="22.140625" style="2" hidden="1" customWidth="1"/>
    <col min="7" max="7" width="24.140625" style="2" hidden="1" customWidth="1"/>
    <col min="8" max="8" width="28.5703125" style="2" hidden="1" customWidth="1"/>
    <col min="9" max="9" width="21.28515625" style="2" hidden="1" customWidth="1"/>
    <col min="10" max="10" width="20.28515625" style="2" hidden="1" customWidth="1"/>
    <col min="11" max="15" width="14.140625" style="2" bestFit="1" customWidth="1"/>
    <col min="16" max="16" width="15.28515625" style="2" customWidth="1"/>
    <col min="17" max="17" width="15.7109375" customWidth="1"/>
    <col min="18" max="18" width="14.7109375" bestFit="1" customWidth="1"/>
  </cols>
  <sheetData>
    <row r="1" spans="1:18" ht="17.25" x14ac:dyDescent="0.3">
      <c r="A1" s="5" t="s">
        <v>66</v>
      </c>
    </row>
    <row r="2" spans="1:18" x14ac:dyDescent="0.25">
      <c r="A2" s="4" t="s">
        <v>1</v>
      </c>
    </row>
    <row r="3" spans="1:18" x14ac:dyDescent="0.25">
      <c r="A3" s="4"/>
    </row>
    <row r="4" spans="1:18" x14ac:dyDescent="0.25">
      <c r="A4" s="4"/>
      <c r="K4" s="43"/>
    </row>
    <row r="5" spans="1:18" ht="17.25" x14ac:dyDescent="0.3">
      <c r="A5" s="5" t="s">
        <v>2</v>
      </c>
    </row>
    <row r="6" spans="1:18" ht="18.75" x14ac:dyDescent="0.3">
      <c r="A6" s="6" t="s">
        <v>3</v>
      </c>
      <c r="B6" s="7" t="s">
        <v>4</v>
      </c>
      <c r="C6" s="6" t="s">
        <v>5</v>
      </c>
      <c r="D6" s="60" t="s">
        <v>6</v>
      </c>
      <c r="E6" s="60" t="s">
        <v>7</v>
      </c>
      <c r="F6" s="60" t="s">
        <v>8</v>
      </c>
      <c r="G6" s="60" t="s">
        <v>9</v>
      </c>
      <c r="H6" s="60" t="s">
        <v>10</v>
      </c>
      <c r="I6" s="60" t="s">
        <v>11</v>
      </c>
      <c r="J6" s="60" t="s">
        <v>46</v>
      </c>
      <c r="K6" s="60" t="s">
        <v>13</v>
      </c>
      <c r="L6" s="60" t="s">
        <v>14</v>
      </c>
      <c r="M6" s="60" t="s">
        <v>15</v>
      </c>
      <c r="N6" s="60" t="s">
        <v>16</v>
      </c>
      <c r="O6" s="60" t="s">
        <v>17</v>
      </c>
      <c r="P6" s="60" t="s">
        <v>47</v>
      </c>
      <c r="Q6" s="61"/>
      <c r="R6" s="61"/>
    </row>
    <row r="7" spans="1:18" ht="18.75" x14ac:dyDescent="0.3">
      <c r="A7" s="9"/>
      <c r="B7" s="10">
        <f>IF(A7&lt;=180000,0.155,IF(AND(A7&gt;180000,A7&lt;=360000),0.18,IF(AND(A7&gt;360000,A7&lt;=720000),0.195,IF(AND(A7&gt;720000,A7&lt;=1800000),0.205,IF(AND(A7&gt;1800000,A7&lt;=3600000),0.23,IF(AND(A7&gt;A7&gt;3600000,A7&lt;=4800000),0.305))))))</f>
        <v>0.155</v>
      </c>
      <c r="C7" s="8">
        <f>IF(A7&lt;=180000,0,IF(AND(A7&gt;180000,A7&lt;=360000),4500,IF(AND(A7&gt;360000,A7&lt;=720000),9900,IF(AND(A7&gt;720000,A7&lt;=1800000),17100,IF(AND(A7&gt;1800000,A7&lt;=3600000),62100,IF(AND(A7&gt;A7&gt;3600000,A7&lt;=4800000),540000))))))</f>
        <v>0</v>
      </c>
      <c r="D7" s="19">
        <f>IF(A7=0,B7,((A7*B7)-C7)/A7)</f>
        <v>0.155</v>
      </c>
      <c r="E7" s="19">
        <f>IF(A7&lt;=180000,0.25,IF(AND(A7&gt;180000,A7&lt;=360000),0.23,IF(AND(A7&gt;360000,A7&lt;=720000),0.24,IF(AND(A7&gt;720000,A7&lt;=1800000),0.21,IF(AND(A7&gt;1800000,A7&lt;=3600000),0.23,IF(AND(A7&gt;3600000,A7&lt;=4800000),0.35))))))</f>
        <v>0.25</v>
      </c>
      <c r="F7" s="19">
        <f>IF(AND(A7&gt;=0,A7&lt;=1800000),0.15,IF(AND(A7&gt;1800000,A7&lt;=3600000),0.125,IF(AND(A7&gt;3600000,A7&lt;=4800000),0.155)))</f>
        <v>0.15</v>
      </c>
      <c r="G7" s="19">
        <f>IF(A7&lt;=180000,0.141,IF(AND(A7&gt;180000,A7&lt;=360000),0.141,IF(AND(A7&gt;360000,A7&lt;=720000),0.1492,IF(AND(A7&gt;720000,A7&lt;=1800000),0.1574,IF(AND(A7&gt;1800000,A7&lt;=3600000),0.141,IF(AND(A7&gt;3600000,A7&lt;=4800000),0.1644))))))</f>
        <v>0.14099999999999999</v>
      </c>
      <c r="H7" s="19">
        <f>IF(A7&lt;=180000,0.0305,IF(AND(A7&gt;180000,A7&lt;=360000),0.0305,IF(AND(A7&gt;360000,A7&lt;=720000),0.0323,IF(AND(A7&gt;720000,A7&lt;=1800000),0.0341,IF(AND(A7&gt;1800000,A7&lt;=3600000),0.0305,IF(AND(A7&gt;3600000,A7&lt;=4800000),0.0356))))))</f>
        <v>3.0499999999999999E-2</v>
      </c>
      <c r="I7" s="19">
        <f>IF(A7&lt;=180000,0.2885,IF(AND(A7&gt;180000,A7&lt;=360000),0.2785,IF(AND(A7&gt;360000,A7&lt;=3600000),0.2385,IF(AND(A7&gt;3600000,A7&lt;=4800000),0.295))))</f>
        <v>0.28849999999999998</v>
      </c>
      <c r="J7" s="19">
        <f>IF(A7&lt;=180000,0.14,IF(AND(A7&gt;180000,A7&lt;=360000),0.17,IF(AND(A7&gt;360000,A7&lt;=720000),0.19,IF(AND(A7&gt;720000,A7&lt;=1800000),0.21,IF(AND(A7&gt;1800000,A7&lt;=3600000),0.235,IF(AND(A7&gt;3600000,A7&lt;=4800000),FALSE))))))</f>
        <v>0.14000000000000001</v>
      </c>
      <c r="K7" s="19">
        <f>$D$7*E7</f>
        <v>3.875E-2</v>
      </c>
      <c r="L7" s="19">
        <f>$D$7*F7</f>
        <v>2.325E-2</v>
      </c>
      <c r="M7" s="19">
        <f>$D$7*G7</f>
        <v>2.1854999999999999E-2</v>
      </c>
      <c r="N7" s="19">
        <f>$D$7*H7</f>
        <v>4.7274999999999999E-3</v>
      </c>
      <c r="O7" s="19">
        <f>$D$7*I7</f>
        <v>4.4717499999999993E-2</v>
      </c>
      <c r="P7" s="19">
        <f>IF(J7=0,0.05,D7*J7)</f>
        <v>2.1700000000000001E-2</v>
      </c>
      <c r="Q7" s="36"/>
      <c r="R7" s="36"/>
    </row>
    <row r="9" spans="1:18" ht="17.25" x14ac:dyDescent="0.3">
      <c r="A9" s="5" t="s">
        <v>19</v>
      </c>
    </row>
    <row r="10" spans="1:18" ht="31.5" customHeight="1" x14ac:dyDescent="0.25">
      <c r="A10" s="23" t="s">
        <v>20</v>
      </c>
      <c r="B10" s="24" t="s">
        <v>4</v>
      </c>
      <c r="C10" s="23" t="s">
        <v>5</v>
      </c>
      <c r="D10" s="27" t="s">
        <v>21</v>
      </c>
      <c r="E10" s="26"/>
      <c r="F10" s="26"/>
      <c r="G10" s="26"/>
      <c r="H10" s="26"/>
      <c r="I10" s="26"/>
      <c r="J10" s="26"/>
      <c r="K10" s="25" t="s">
        <v>22</v>
      </c>
      <c r="L10" s="25" t="s">
        <v>23</v>
      </c>
      <c r="M10" s="25" t="s">
        <v>24</v>
      </c>
      <c r="N10" s="25" t="s">
        <v>25</v>
      </c>
      <c r="O10" s="25" t="s">
        <v>26</v>
      </c>
      <c r="P10" s="25" t="s">
        <v>27</v>
      </c>
      <c r="Q10" s="25" t="s">
        <v>51</v>
      </c>
      <c r="R10" s="27" t="s">
        <v>29</v>
      </c>
    </row>
    <row r="11" spans="1:18" ht="15.75" x14ac:dyDescent="0.25">
      <c r="A11" s="20" t="s">
        <v>52</v>
      </c>
      <c r="B11" s="13"/>
      <c r="C11" s="12"/>
      <c r="D11" s="22"/>
      <c r="E11" s="11"/>
      <c r="F11" s="11"/>
      <c r="G11" s="11"/>
      <c r="H11" s="11"/>
      <c r="I11" s="11"/>
      <c r="J11" s="11"/>
      <c r="K11" s="14">
        <f>D7</f>
        <v>0.155</v>
      </c>
      <c r="L11" s="12">
        <f>($D$11*K7)</f>
        <v>0</v>
      </c>
      <c r="M11" s="12">
        <f t="shared" ref="M11:P11" si="0">($D$11*L7)</f>
        <v>0</v>
      </c>
      <c r="N11" s="12">
        <f t="shared" si="0"/>
        <v>0</v>
      </c>
      <c r="O11" s="12">
        <f t="shared" si="0"/>
        <v>0</v>
      </c>
      <c r="P11" s="12">
        <f t="shared" si="0"/>
        <v>0</v>
      </c>
      <c r="Q11" s="12">
        <f>$D$11*P7</f>
        <v>0</v>
      </c>
      <c r="R11" s="12">
        <f t="shared" ref="R11:R16" si="1">SUM(L11:Q11)</f>
        <v>0</v>
      </c>
    </row>
    <row r="12" spans="1:18" ht="15.75" x14ac:dyDescent="0.25">
      <c r="A12" s="20" t="s">
        <v>53</v>
      </c>
      <c r="B12" s="13"/>
      <c r="C12" s="12"/>
      <c r="D12" s="22"/>
      <c r="E12" s="11"/>
      <c r="F12" s="11"/>
      <c r="G12" s="11"/>
      <c r="H12" s="11"/>
      <c r="I12" s="11"/>
      <c r="J12" s="11"/>
      <c r="K12" s="14">
        <f>$D$7-$P$7</f>
        <v>0.1333</v>
      </c>
      <c r="L12" s="12">
        <f>$D$12*K7</f>
        <v>0</v>
      </c>
      <c r="M12" s="12">
        <f t="shared" ref="M12:P12" si="2">$D$12*L7</f>
        <v>0</v>
      </c>
      <c r="N12" s="12">
        <f t="shared" si="2"/>
        <v>0</v>
      </c>
      <c r="O12" s="12">
        <f t="shared" si="2"/>
        <v>0</v>
      </c>
      <c r="P12" s="12">
        <f t="shared" si="2"/>
        <v>0</v>
      </c>
      <c r="Q12" s="31" t="s">
        <v>44</v>
      </c>
      <c r="R12" s="12">
        <f t="shared" si="1"/>
        <v>0</v>
      </c>
    </row>
    <row r="13" spans="1:18" ht="15.75" x14ac:dyDescent="0.25">
      <c r="A13" s="32"/>
      <c r="B13" s="13"/>
      <c r="C13" s="12"/>
      <c r="D13" s="22"/>
      <c r="E13" s="42"/>
      <c r="F13" s="42"/>
      <c r="G13" s="42"/>
      <c r="H13" s="42"/>
      <c r="I13" s="42"/>
      <c r="J13" s="42"/>
      <c r="K13" s="39"/>
      <c r="L13" s="40"/>
      <c r="M13" s="40"/>
      <c r="N13" s="40"/>
      <c r="O13" s="40"/>
      <c r="P13" s="40"/>
      <c r="Q13" s="41"/>
      <c r="R13" s="12">
        <f t="shared" si="1"/>
        <v>0</v>
      </c>
    </row>
    <row r="14" spans="1:18" ht="15.75" x14ac:dyDescent="0.25">
      <c r="A14" s="32"/>
      <c r="B14" s="13"/>
      <c r="C14" s="12"/>
      <c r="D14" s="22"/>
      <c r="E14" s="42"/>
      <c r="F14" s="42"/>
      <c r="G14" s="42"/>
      <c r="H14" s="42"/>
      <c r="I14" s="42"/>
      <c r="J14" s="42"/>
      <c r="K14" s="39"/>
      <c r="L14" s="40"/>
      <c r="M14" s="40"/>
      <c r="N14" s="40"/>
      <c r="O14" s="40"/>
      <c r="P14" s="40"/>
      <c r="Q14" s="41"/>
      <c r="R14" s="12">
        <f t="shared" si="1"/>
        <v>0</v>
      </c>
    </row>
    <row r="15" spans="1:18" ht="15.75" x14ac:dyDescent="0.25">
      <c r="A15" s="21"/>
      <c r="B15" s="13"/>
      <c r="C15" s="12"/>
      <c r="D15" s="22"/>
      <c r="E15" s="42"/>
      <c r="F15" s="42"/>
      <c r="G15" s="42"/>
      <c r="H15" s="42"/>
      <c r="I15" s="42"/>
      <c r="J15" s="42"/>
      <c r="K15" s="39"/>
      <c r="L15" s="40"/>
      <c r="M15" s="40"/>
      <c r="N15" s="40"/>
      <c r="O15" s="40"/>
      <c r="P15" s="40"/>
      <c r="Q15" s="40"/>
      <c r="R15" s="12">
        <f t="shared" si="1"/>
        <v>0</v>
      </c>
    </row>
    <row r="16" spans="1:18" ht="15.75" x14ac:dyDescent="0.25">
      <c r="A16" s="21"/>
      <c r="B16" s="13"/>
      <c r="C16" s="12"/>
      <c r="D16" s="22"/>
      <c r="E16" s="42"/>
      <c r="F16" s="42"/>
      <c r="G16" s="42"/>
      <c r="H16" s="42"/>
      <c r="I16" s="42"/>
      <c r="J16" s="42"/>
      <c r="K16" s="39"/>
      <c r="L16" s="40"/>
      <c r="M16" s="40"/>
      <c r="N16" s="40"/>
      <c r="O16" s="40"/>
      <c r="P16" s="40"/>
      <c r="Q16" s="41"/>
      <c r="R16" s="12">
        <f t="shared" si="1"/>
        <v>0</v>
      </c>
    </row>
    <row r="17" spans="1:18" ht="15.75" x14ac:dyDescent="0.25">
      <c r="A17" s="33"/>
      <c r="B17" s="13"/>
      <c r="C17" s="12"/>
      <c r="D17" s="22"/>
      <c r="E17" s="42"/>
      <c r="F17" s="42"/>
      <c r="G17" s="42"/>
      <c r="H17" s="42"/>
      <c r="I17" s="42"/>
      <c r="J17" s="42"/>
      <c r="K17" s="39"/>
      <c r="L17" s="40"/>
      <c r="M17" s="40"/>
      <c r="N17" s="40"/>
      <c r="O17" s="40"/>
      <c r="P17" s="40"/>
      <c r="Q17" s="41"/>
      <c r="R17" s="12">
        <f t="shared" ref="R17:R18" si="3">SUM(L17:Q17)</f>
        <v>0</v>
      </c>
    </row>
    <row r="18" spans="1:18" ht="15.75" x14ac:dyDescent="0.25">
      <c r="A18" s="33"/>
      <c r="B18" s="13"/>
      <c r="C18" s="12"/>
      <c r="D18" s="22"/>
      <c r="E18" s="42"/>
      <c r="F18" s="42"/>
      <c r="G18" s="42"/>
      <c r="H18" s="42"/>
      <c r="I18" s="42"/>
      <c r="J18" s="42"/>
      <c r="K18" s="39"/>
      <c r="L18" s="40"/>
      <c r="M18" s="40"/>
      <c r="N18" s="40"/>
      <c r="O18" s="40"/>
      <c r="P18" s="40"/>
      <c r="Q18" s="41"/>
      <c r="R18" s="12">
        <f t="shared" si="3"/>
        <v>0</v>
      </c>
    </row>
    <row r="19" spans="1:18" x14ac:dyDescent="0.25">
      <c r="A19" s="15" t="s">
        <v>36</v>
      </c>
      <c r="B19" s="16"/>
      <c r="C19" s="15"/>
      <c r="D19" s="18">
        <f>SUM(D11:D18)</f>
        <v>0</v>
      </c>
      <c r="E19" s="17"/>
      <c r="F19" s="17"/>
      <c r="G19" s="17"/>
      <c r="H19" s="17"/>
      <c r="I19" s="17"/>
      <c r="J19" s="17"/>
      <c r="K19" s="29"/>
      <c r="L19" s="18">
        <f t="shared" ref="L19:R19" si="4">SUM(L11:L18)</f>
        <v>0</v>
      </c>
      <c r="M19" s="18">
        <f t="shared" si="4"/>
        <v>0</v>
      </c>
      <c r="N19" s="18">
        <f t="shared" si="4"/>
        <v>0</v>
      </c>
      <c r="O19" s="18">
        <f t="shared" si="4"/>
        <v>0</v>
      </c>
      <c r="P19" s="18">
        <f t="shared" si="4"/>
        <v>0</v>
      </c>
      <c r="Q19" s="18">
        <f t="shared" si="4"/>
        <v>0</v>
      </c>
      <c r="R19" s="18">
        <f t="shared" si="4"/>
        <v>0</v>
      </c>
    </row>
  </sheetData>
  <sheetProtection sheet="1" objects="1" scenarios="1" formatColumns="0"/>
  <mergeCells count="1">
    <mergeCell ref="Q6:R6"/>
  </mergeCells>
  <pageMargins left="0.25" right="0.25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B28"/>
  <sheetViews>
    <sheetView workbookViewId="0">
      <selection activeCell="B27" sqref="B27"/>
    </sheetView>
  </sheetViews>
  <sheetFormatPr defaultRowHeight="15" x14ac:dyDescent="0.25"/>
  <cols>
    <col min="2" max="2" width="18.42578125" bestFit="1" customWidth="1"/>
  </cols>
  <sheetData>
    <row r="4" spans="1:2" x14ac:dyDescent="0.25">
      <c r="A4" s="56" t="s">
        <v>67</v>
      </c>
      <c r="B4" s="56" t="s">
        <v>68</v>
      </c>
    </row>
    <row r="5" spans="1:2" x14ac:dyDescent="0.25">
      <c r="A5" s="57">
        <v>43101</v>
      </c>
      <c r="B5" s="58">
        <v>105977.84</v>
      </c>
    </row>
    <row r="6" spans="1:2" x14ac:dyDescent="0.25">
      <c r="A6" s="57">
        <v>43132</v>
      </c>
      <c r="B6" s="58">
        <v>131185.65</v>
      </c>
    </row>
    <row r="7" spans="1:2" x14ac:dyDescent="0.25">
      <c r="A7" s="57">
        <v>43160</v>
      </c>
      <c r="B7" s="58">
        <v>122744.09</v>
      </c>
    </row>
    <row r="8" spans="1:2" x14ac:dyDescent="0.25">
      <c r="A8" s="57">
        <v>43191</v>
      </c>
      <c r="B8" s="58">
        <v>130791.01</v>
      </c>
    </row>
    <row r="9" spans="1:2" x14ac:dyDescent="0.25">
      <c r="A9" s="57">
        <v>43221</v>
      </c>
      <c r="B9" s="58">
        <v>136674.35999999999</v>
      </c>
    </row>
    <row r="10" spans="1:2" x14ac:dyDescent="0.25">
      <c r="A10" s="57">
        <v>43252</v>
      </c>
      <c r="B10" s="58">
        <v>121539.83</v>
      </c>
    </row>
    <row r="11" spans="1:2" x14ac:dyDescent="0.25">
      <c r="A11" s="57">
        <v>43282</v>
      </c>
      <c r="B11" s="58">
        <v>151551.81</v>
      </c>
    </row>
    <row r="12" spans="1:2" x14ac:dyDescent="0.25">
      <c r="A12" s="57">
        <v>43313</v>
      </c>
      <c r="B12" s="58">
        <v>158372.37</v>
      </c>
    </row>
    <row r="13" spans="1:2" x14ac:dyDescent="0.25">
      <c r="A13" s="57">
        <v>43344</v>
      </c>
      <c r="B13" s="58">
        <v>152839</v>
      </c>
    </row>
    <row r="14" spans="1:2" x14ac:dyDescent="0.25">
      <c r="A14" s="57">
        <v>43374</v>
      </c>
      <c r="B14" s="58">
        <v>203246.47</v>
      </c>
    </row>
    <row r="15" spans="1:2" x14ac:dyDescent="0.25">
      <c r="A15" s="57">
        <v>43405</v>
      </c>
      <c r="B15" s="58">
        <v>189939.6</v>
      </c>
    </row>
    <row r="16" spans="1:2" x14ac:dyDescent="0.25">
      <c r="A16" s="57">
        <v>43435</v>
      </c>
      <c r="B16" s="58">
        <v>202843.91</v>
      </c>
    </row>
    <row r="17" spans="1:2" x14ac:dyDescent="0.25">
      <c r="A17" s="57">
        <v>43466</v>
      </c>
      <c r="B17" s="55">
        <v>198395.19</v>
      </c>
    </row>
    <row r="18" spans="1:2" x14ac:dyDescent="0.25">
      <c r="A18" s="57">
        <v>43497</v>
      </c>
      <c r="B18" s="55">
        <v>188573.14</v>
      </c>
    </row>
    <row r="19" spans="1:2" x14ac:dyDescent="0.25">
      <c r="A19" s="57">
        <v>43525</v>
      </c>
      <c r="B19" s="55">
        <v>171431.22</v>
      </c>
    </row>
    <row r="20" spans="1:2" x14ac:dyDescent="0.25">
      <c r="A20" s="57">
        <v>43556</v>
      </c>
      <c r="B20" s="55">
        <v>210474.43</v>
      </c>
    </row>
    <row r="21" spans="1:2" x14ac:dyDescent="0.25">
      <c r="A21" s="57">
        <v>43586</v>
      </c>
      <c r="B21" s="55">
        <v>198607.25</v>
      </c>
    </row>
    <row r="22" spans="1:2" x14ac:dyDescent="0.25">
      <c r="A22" s="57">
        <v>43617</v>
      </c>
      <c r="B22" s="55">
        <v>198503.22</v>
      </c>
    </row>
    <row r="23" spans="1:2" x14ac:dyDescent="0.25">
      <c r="A23" s="57">
        <v>43647</v>
      </c>
      <c r="B23" s="55">
        <v>257693.92</v>
      </c>
    </row>
    <row r="24" spans="1:2" x14ac:dyDescent="0.25">
      <c r="A24" s="57">
        <v>43678</v>
      </c>
      <c r="B24" s="55">
        <v>223961.46</v>
      </c>
    </row>
    <row r="25" spans="1:2" x14ac:dyDescent="0.25">
      <c r="A25" s="57">
        <v>43709</v>
      </c>
      <c r="B25" s="55">
        <v>259137.77</v>
      </c>
    </row>
    <row r="26" spans="1:2" x14ac:dyDescent="0.25">
      <c r="A26" s="57">
        <v>43739</v>
      </c>
      <c r="B26" s="55">
        <v>253331.83</v>
      </c>
    </row>
    <row r="27" spans="1:2" x14ac:dyDescent="0.25">
      <c r="A27" s="57">
        <v>43770</v>
      </c>
      <c r="B27" s="55">
        <v>318468.53999999998</v>
      </c>
    </row>
    <row r="28" spans="1:2" x14ac:dyDescent="0.25">
      <c r="A28" s="57">
        <v>43800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7A811F308ADA428BFACA1E8CBACBF4" ma:contentTypeVersion="12" ma:contentTypeDescription="Create a new document." ma:contentTypeScope="" ma:versionID="c9cc9022695923cdb21754b77cf7c1c2">
  <xsd:schema xmlns:xsd="http://www.w3.org/2001/XMLSchema" xmlns:xs="http://www.w3.org/2001/XMLSchema" xmlns:p="http://schemas.microsoft.com/office/2006/metadata/properties" xmlns:ns2="0cf5684e-4054-43d9-87ec-6d5592aabad7" xmlns:ns3="607be718-b6ab-47d6-94c6-6476c61b6158" targetNamespace="http://schemas.microsoft.com/office/2006/metadata/properties" ma:root="true" ma:fieldsID="d6ab264cca9cdfc456cd98178bf97f9d" ns2:_="" ns3:_="">
    <xsd:import namespace="0cf5684e-4054-43d9-87ec-6d5592aabad7"/>
    <xsd:import namespace="607be718-b6ab-47d6-94c6-6476c61b6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5684e-4054-43d9-87ec-6d5592aaba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7be718-b6ab-47d6-94c6-6476c61b615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8C08B0-E956-4CCE-89C0-779B2730FCAF}">
  <ds:schemaRefs>
    <ds:schemaRef ds:uri="607be718-b6ab-47d6-94c6-6476c61b6158"/>
    <ds:schemaRef ds:uri="http://schemas.microsoft.com/office/2006/documentManagement/types"/>
    <ds:schemaRef ds:uri="http://schemas.microsoft.com/office/2006/metadata/properties"/>
    <ds:schemaRef ds:uri="0cf5684e-4054-43d9-87ec-6d5592aabad7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C3DDC7-38DD-4485-A7F7-42A8C9A005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4C250F-D625-4A9A-9D15-7FFCA2FC1E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f5684e-4054-43d9-87ec-6d5592aabad7"/>
    <ds:schemaRef ds:uri="607be718-b6ab-47d6-94c6-6476c61b6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</vt:lpstr>
      <vt:lpstr>ANEXO II</vt:lpstr>
      <vt:lpstr>ANEXO III</vt:lpstr>
      <vt:lpstr>ANEXO IV</vt:lpstr>
      <vt:lpstr>ANEXO V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SILAS SANTIAGO</dc:creator>
  <cp:keywords/>
  <dc:description/>
  <cp:lastModifiedBy>Mônica Porto</cp:lastModifiedBy>
  <cp:revision/>
  <dcterms:created xsi:type="dcterms:W3CDTF">2015-03-08T09:25:42Z</dcterms:created>
  <dcterms:modified xsi:type="dcterms:W3CDTF">2022-05-14T16:27:33Z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101845800</vt:r8>
  </property>
  <property fmtid="{D5CDD505-2E9C-101B-9397-08002B2CF9AE}" pid="3" name="ContentTypeId">
    <vt:lpwstr>0x010100987A811F308ADA428BFACA1E8CBACBF4</vt:lpwstr>
  </property>
</Properties>
</file>